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dcountycagov.sharepoint.com/sites/apcd/Engineering/Shared Documents/Fee estimates/Rule-40-Update-July-2024/"/>
    </mc:Choice>
  </mc:AlternateContent>
  <xr:revisionPtr revIDLastSave="3" documentId="8_{1D4A8D9B-EFBA-4287-AC03-85961CAC7DD9}" xr6:coauthVersionLast="47" xr6:coauthVersionMax="47" xr10:uidLastSave="{00100E6B-C648-4EF3-8F65-46145123C95B}"/>
  <bookViews>
    <workbookView xWindow="28680" yWindow="-120" windowWidth="38640" windowHeight="21120" xr2:uid="{00000000-000D-0000-FFFF-FFFF00000000}"/>
  </bookViews>
  <sheets>
    <sheet name="Fee-est-default" sheetId="14" r:id="rId1"/>
    <sheet name="Lists" sheetId="15" r:id="rId2"/>
    <sheet name="Rule 40 Fees" sheetId="13" r:id="rId3"/>
  </sheets>
  <definedNames>
    <definedName name="HRAs">#REF!</definedName>
    <definedName name="_xlnm.Print_Area" localSheetId="0">'Fee-est-default'!$A$1:$J$63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4" l="1"/>
  <c r="J185" i="13"/>
  <c r="J184" i="13"/>
  <c r="J162" i="13" l="1"/>
  <c r="D141" i="13"/>
  <c r="D10" i="13"/>
  <c r="R10" i="13"/>
  <c r="D13" i="13"/>
  <c r="R13" i="13"/>
  <c r="D16" i="13"/>
  <c r="R16" i="13"/>
  <c r="D18" i="13"/>
  <c r="G40" i="14" l="1"/>
  <c r="G52" i="14"/>
  <c r="O182" i="13" l="1"/>
  <c r="O181" i="13"/>
  <c r="O43" i="13"/>
  <c r="N43" i="13"/>
  <c r="M43" i="13"/>
  <c r="K43" i="13"/>
  <c r="O42" i="13"/>
  <c r="N42" i="13"/>
  <c r="M42" i="13"/>
  <c r="K42" i="13"/>
  <c r="O40" i="13"/>
  <c r="N40" i="13"/>
  <c r="M40" i="13"/>
  <c r="L40" i="13"/>
  <c r="K40" i="13"/>
  <c r="O39" i="13"/>
  <c r="N39" i="13"/>
  <c r="M39" i="13"/>
  <c r="L39" i="13"/>
  <c r="K39" i="13"/>
  <c r="O37" i="13"/>
  <c r="N37" i="13"/>
  <c r="M37" i="13"/>
  <c r="L37" i="13"/>
  <c r="K37" i="13"/>
  <c r="O36" i="13"/>
  <c r="N36" i="13"/>
  <c r="M36" i="13"/>
  <c r="L36" i="13"/>
  <c r="K36" i="13"/>
  <c r="O34" i="13"/>
  <c r="N34" i="13"/>
  <c r="M34" i="13"/>
  <c r="L34" i="13"/>
  <c r="K34" i="13"/>
  <c r="O32" i="13"/>
  <c r="N32" i="13"/>
  <c r="M32" i="13"/>
  <c r="L32" i="13"/>
  <c r="K32" i="13"/>
  <c r="O31" i="13"/>
  <c r="N31" i="13"/>
  <c r="M31" i="13"/>
  <c r="L31" i="13"/>
  <c r="K31" i="13"/>
  <c r="O30" i="13"/>
  <c r="N30" i="13"/>
  <c r="M30" i="13"/>
  <c r="L30" i="13"/>
  <c r="K30" i="13"/>
  <c r="O29" i="13"/>
  <c r="N29" i="13"/>
  <c r="M29" i="13"/>
  <c r="L29" i="13"/>
  <c r="K29" i="13"/>
  <c r="O27" i="13"/>
  <c r="N27" i="13"/>
  <c r="M27" i="13"/>
  <c r="L27" i="13"/>
  <c r="K27" i="13"/>
  <c r="O26" i="13"/>
  <c r="N26" i="13"/>
  <c r="M26" i="13"/>
  <c r="L26" i="13"/>
  <c r="K26" i="13"/>
  <c r="O25" i="13"/>
  <c r="N25" i="13"/>
  <c r="M25" i="13"/>
  <c r="L25" i="13"/>
  <c r="K25" i="13"/>
  <c r="O24" i="13"/>
  <c r="N24" i="13"/>
  <c r="M24" i="13"/>
  <c r="L24" i="13"/>
  <c r="K24" i="13"/>
  <c r="O22" i="13"/>
  <c r="N22" i="13"/>
  <c r="M22" i="13"/>
  <c r="L22" i="13"/>
  <c r="K22" i="13"/>
  <c r="O21" i="13"/>
  <c r="N21" i="13"/>
  <c r="M21" i="13"/>
  <c r="L21" i="13"/>
  <c r="K21" i="13"/>
  <c r="O19" i="13"/>
  <c r="N19" i="13"/>
  <c r="M19" i="13"/>
  <c r="L19" i="13"/>
  <c r="K19" i="13"/>
  <c r="O17" i="13"/>
  <c r="N17" i="13"/>
  <c r="M17" i="13"/>
  <c r="L17" i="13"/>
  <c r="K17" i="13"/>
  <c r="O15" i="13"/>
  <c r="N15" i="13"/>
  <c r="M15" i="13"/>
  <c r="L15" i="13"/>
  <c r="K15" i="13"/>
  <c r="O14" i="13"/>
  <c r="N14" i="13"/>
  <c r="M14" i="13"/>
  <c r="L14" i="13"/>
  <c r="K14" i="13"/>
  <c r="O12" i="13"/>
  <c r="N12" i="13"/>
  <c r="M12" i="13"/>
  <c r="L12" i="13"/>
  <c r="K12" i="13"/>
  <c r="O11" i="13"/>
  <c r="N11" i="13"/>
  <c r="M11" i="13"/>
  <c r="L11" i="13"/>
  <c r="K11" i="13"/>
  <c r="O9" i="13"/>
  <c r="N9" i="13"/>
  <c r="M9" i="13"/>
  <c r="L9" i="13"/>
  <c r="K9" i="13"/>
  <c r="H53" i="14"/>
  <c r="G53" i="14" s="1"/>
  <c r="G50" i="14"/>
  <c r="O208" i="13"/>
  <c r="N208" i="13"/>
  <c r="M208" i="13"/>
  <c r="L208" i="13"/>
  <c r="K208" i="13"/>
  <c r="O206" i="13"/>
  <c r="N206" i="13"/>
  <c r="M206" i="13"/>
  <c r="L206" i="13"/>
  <c r="K206" i="13"/>
  <c r="O204" i="13"/>
  <c r="N204" i="13"/>
  <c r="M204" i="13"/>
  <c r="L204" i="13"/>
  <c r="K204" i="13"/>
  <c r="O202" i="13"/>
  <c r="N202" i="13"/>
  <c r="M202" i="13"/>
  <c r="L202" i="13"/>
  <c r="K202" i="13"/>
  <c r="O201" i="13"/>
  <c r="N201" i="13"/>
  <c r="M201" i="13"/>
  <c r="L201" i="13"/>
  <c r="K201" i="13"/>
  <c r="O199" i="13"/>
  <c r="N199" i="13"/>
  <c r="M199" i="13"/>
  <c r="L199" i="13"/>
  <c r="K199" i="13"/>
  <c r="O198" i="13"/>
  <c r="N198" i="13"/>
  <c r="M198" i="13"/>
  <c r="L198" i="13"/>
  <c r="K198" i="13"/>
  <c r="O197" i="13"/>
  <c r="N197" i="13"/>
  <c r="M197" i="13"/>
  <c r="L197" i="13"/>
  <c r="K197" i="13"/>
  <c r="O195" i="13"/>
  <c r="N195" i="13"/>
  <c r="M195" i="13"/>
  <c r="L195" i="13"/>
  <c r="K195" i="13"/>
  <c r="O193" i="13"/>
  <c r="N193" i="13"/>
  <c r="M193" i="13"/>
  <c r="L193" i="13"/>
  <c r="K193" i="13"/>
  <c r="O192" i="13"/>
  <c r="N192" i="13"/>
  <c r="M192" i="13"/>
  <c r="L192" i="13"/>
  <c r="K192" i="13"/>
  <c r="O190" i="13"/>
  <c r="N190" i="13"/>
  <c r="M190" i="13"/>
  <c r="L190" i="13"/>
  <c r="K190" i="13"/>
  <c r="O189" i="13"/>
  <c r="N189" i="13"/>
  <c r="M189" i="13"/>
  <c r="L189" i="13"/>
  <c r="K189" i="13"/>
  <c r="O187" i="13"/>
  <c r="N187" i="13"/>
  <c r="M187" i="13"/>
  <c r="L187" i="13"/>
  <c r="K187" i="13"/>
  <c r="K185" i="13"/>
  <c r="L185" i="13"/>
  <c r="M185" i="13"/>
  <c r="N185" i="13"/>
  <c r="O185" i="13"/>
  <c r="O184" i="13"/>
  <c r="N184" i="13"/>
  <c r="M184" i="13"/>
  <c r="L184" i="13"/>
  <c r="K184" i="13"/>
  <c r="M182" i="13"/>
  <c r="L182" i="13"/>
  <c r="M181" i="13"/>
  <c r="L181" i="13"/>
  <c r="O179" i="13"/>
  <c r="N179" i="13"/>
  <c r="M179" i="13"/>
  <c r="L179" i="13"/>
  <c r="K179" i="13"/>
  <c r="O177" i="13"/>
  <c r="N177" i="13"/>
  <c r="M177" i="13"/>
  <c r="L177" i="13"/>
  <c r="K177" i="13"/>
  <c r="O175" i="13"/>
  <c r="N175" i="13"/>
  <c r="M175" i="13"/>
  <c r="L175" i="13"/>
  <c r="K175" i="13"/>
  <c r="O174" i="13"/>
  <c r="N174" i="13"/>
  <c r="M174" i="13"/>
  <c r="L174" i="13"/>
  <c r="K174" i="13"/>
  <c r="O172" i="13"/>
  <c r="N172" i="13"/>
  <c r="M172" i="13"/>
  <c r="L172" i="13"/>
  <c r="K172" i="13"/>
  <c r="O170" i="13"/>
  <c r="N170" i="13"/>
  <c r="M170" i="13"/>
  <c r="L170" i="13"/>
  <c r="K170" i="13"/>
  <c r="O169" i="13"/>
  <c r="N169" i="13"/>
  <c r="M169" i="13"/>
  <c r="L169" i="13"/>
  <c r="K169" i="13"/>
  <c r="O168" i="13"/>
  <c r="N168" i="13"/>
  <c r="M168" i="13"/>
  <c r="L168" i="13"/>
  <c r="K168" i="13"/>
  <c r="O167" i="13"/>
  <c r="N167" i="13"/>
  <c r="M167" i="13"/>
  <c r="L167" i="13"/>
  <c r="K167" i="13"/>
  <c r="O165" i="13"/>
  <c r="N165" i="13"/>
  <c r="M165" i="13"/>
  <c r="L165" i="13"/>
  <c r="K165" i="13"/>
  <c r="O164" i="13"/>
  <c r="N164" i="13"/>
  <c r="M164" i="13"/>
  <c r="L164" i="13"/>
  <c r="K164" i="13"/>
  <c r="O162" i="13"/>
  <c r="N162" i="13"/>
  <c r="M162" i="13"/>
  <c r="L162" i="13"/>
  <c r="K162" i="13"/>
  <c r="O160" i="13"/>
  <c r="N160" i="13"/>
  <c r="M160" i="13"/>
  <c r="L160" i="13"/>
  <c r="K160" i="13"/>
  <c r="O156" i="13"/>
  <c r="N156" i="13"/>
  <c r="M156" i="13"/>
  <c r="L156" i="13"/>
  <c r="K156" i="13"/>
  <c r="O155" i="13"/>
  <c r="N155" i="13"/>
  <c r="M155" i="13"/>
  <c r="L155" i="13"/>
  <c r="K155" i="13"/>
  <c r="O154" i="13"/>
  <c r="N154" i="13"/>
  <c r="M154" i="13"/>
  <c r="L154" i="13"/>
  <c r="K154" i="13"/>
  <c r="O152" i="13"/>
  <c r="N152" i="13"/>
  <c r="M152" i="13"/>
  <c r="L152" i="13"/>
  <c r="K152" i="13"/>
  <c r="O151" i="13"/>
  <c r="N151" i="13"/>
  <c r="M151" i="13"/>
  <c r="L151" i="13"/>
  <c r="K151" i="13"/>
  <c r="O149" i="13"/>
  <c r="N149" i="13"/>
  <c r="M149" i="13"/>
  <c r="L149" i="13"/>
  <c r="K149" i="13"/>
  <c r="O147" i="13"/>
  <c r="N147" i="13"/>
  <c r="M147" i="13"/>
  <c r="L147" i="13"/>
  <c r="K147" i="13"/>
  <c r="O145" i="13"/>
  <c r="N145" i="13"/>
  <c r="M145" i="13"/>
  <c r="L145" i="13"/>
  <c r="K145" i="13"/>
  <c r="O144" i="13"/>
  <c r="N144" i="13"/>
  <c r="M144" i="13"/>
  <c r="L144" i="13"/>
  <c r="K144" i="13"/>
  <c r="O143" i="13"/>
  <c r="N143" i="13"/>
  <c r="M143" i="13"/>
  <c r="L143" i="13"/>
  <c r="K143" i="13"/>
  <c r="O142" i="13"/>
  <c r="N142" i="13"/>
  <c r="M142" i="13"/>
  <c r="L142" i="13"/>
  <c r="K142" i="13"/>
  <c r="O141" i="13"/>
  <c r="N141" i="13"/>
  <c r="M141" i="13"/>
  <c r="L141" i="13"/>
  <c r="K141" i="13"/>
  <c r="O140" i="13"/>
  <c r="N140" i="13"/>
  <c r="M140" i="13"/>
  <c r="L140" i="13"/>
  <c r="K140" i="13"/>
  <c r="O139" i="13"/>
  <c r="N139" i="13"/>
  <c r="M139" i="13"/>
  <c r="L139" i="13"/>
  <c r="K139" i="13"/>
  <c r="O138" i="13"/>
  <c r="N138" i="13"/>
  <c r="M138" i="13"/>
  <c r="L138" i="13"/>
  <c r="O137" i="13"/>
  <c r="N137" i="13"/>
  <c r="M137" i="13"/>
  <c r="L137" i="13"/>
  <c r="O135" i="13"/>
  <c r="N135" i="13"/>
  <c r="M135" i="13"/>
  <c r="L135" i="13"/>
  <c r="O134" i="13"/>
  <c r="N134" i="13"/>
  <c r="M134" i="13"/>
  <c r="L134" i="13"/>
  <c r="O131" i="13"/>
  <c r="N131" i="13"/>
  <c r="M131" i="13"/>
  <c r="L131" i="13"/>
  <c r="K131" i="13"/>
  <c r="O130" i="13"/>
  <c r="N130" i="13"/>
  <c r="M130" i="13"/>
  <c r="L130" i="13"/>
  <c r="K130" i="13"/>
  <c r="O129" i="13"/>
  <c r="N129" i="13"/>
  <c r="M129" i="13"/>
  <c r="L129" i="13"/>
  <c r="K129" i="13"/>
  <c r="O127" i="13"/>
  <c r="N127" i="13"/>
  <c r="M127" i="13"/>
  <c r="L127" i="13"/>
  <c r="K127" i="13"/>
  <c r="O124" i="13"/>
  <c r="N124" i="13"/>
  <c r="M124" i="13"/>
  <c r="L124" i="13"/>
  <c r="K124" i="13"/>
  <c r="O120" i="13"/>
  <c r="N120" i="13"/>
  <c r="M120" i="13"/>
  <c r="L120" i="13"/>
  <c r="K120" i="13"/>
  <c r="O117" i="13"/>
  <c r="N117" i="13"/>
  <c r="M117" i="13"/>
  <c r="L117" i="13"/>
  <c r="K117" i="13"/>
  <c r="O116" i="13"/>
  <c r="N116" i="13"/>
  <c r="M116" i="13"/>
  <c r="L116" i="13"/>
  <c r="K116" i="13"/>
  <c r="O115" i="13"/>
  <c r="N115" i="13"/>
  <c r="M115" i="13"/>
  <c r="L115" i="13"/>
  <c r="K115" i="13"/>
  <c r="O114" i="13"/>
  <c r="N114" i="13"/>
  <c r="M114" i="13"/>
  <c r="L114" i="13"/>
  <c r="K114" i="13"/>
  <c r="O113" i="13"/>
  <c r="N113" i="13"/>
  <c r="M113" i="13"/>
  <c r="L113" i="13"/>
  <c r="K113" i="13"/>
  <c r="O112" i="13"/>
  <c r="N112" i="13"/>
  <c r="M112" i="13"/>
  <c r="L112" i="13"/>
  <c r="K112" i="13"/>
  <c r="O111" i="13"/>
  <c r="N111" i="13"/>
  <c r="M111" i="13"/>
  <c r="L111" i="13"/>
  <c r="K111" i="13"/>
  <c r="O109" i="13"/>
  <c r="N109" i="13"/>
  <c r="M109" i="13"/>
  <c r="L109" i="13"/>
  <c r="K109" i="13"/>
  <c r="O108" i="13"/>
  <c r="N108" i="13"/>
  <c r="M108" i="13"/>
  <c r="L108" i="13"/>
  <c r="K108" i="13"/>
  <c r="O107" i="13"/>
  <c r="N107" i="13"/>
  <c r="M107" i="13"/>
  <c r="L107" i="13"/>
  <c r="K107" i="13"/>
  <c r="O106" i="13"/>
  <c r="N106" i="13"/>
  <c r="M106" i="13"/>
  <c r="L106" i="13"/>
  <c r="K106" i="13"/>
  <c r="O105" i="13"/>
  <c r="N105" i="13"/>
  <c r="M105" i="13"/>
  <c r="L105" i="13"/>
  <c r="K105" i="13"/>
  <c r="O104" i="13"/>
  <c r="N104" i="13"/>
  <c r="M104" i="13"/>
  <c r="L104" i="13"/>
  <c r="K104" i="13"/>
  <c r="O103" i="13"/>
  <c r="N103" i="13"/>
  <c r="M103" i="13"/>
  <c r="L103" i="13"/>
  <c r="K103" i="13"/>
  <c r="O102" i="13"/>
  <c r="N102" i="13"/>
  <c r="M102" i="13"/>
  <c r="L102" i="13"/>
  <c r="K102" i="13"/>
  <c r="O101" i="13"/>
  <c r="N101" i="13"/>
  <c r="M101" i="13"/>
  <c r="L101" i="13"/>
  <c r="K101" i="13"/>
  <c r="O100" i="13"/>
  <c r="N100" i="13"/>
  <c r="M100" i="13"/>
  <c r="L100" i="13"/>
  <c r="K100" i="13"/>
  <c r="O98" i="13"/>
  <c r="N98" i="13"/>
  <c r="M98" i="13"/>
  <c r="L98" i="13"/>
  <c r="O99" i="13"/>
  <c r="N99" i="13"/>
  <c r="M99" i="13"/>
  <c r="L99" i="13"/>
  <c r="K99" i="13"/>
  <c r="O97" i="13"/>
  <c r="N97" i="13"/>
  <c r="M97" i="13"/>
  <c r="L97" i="13"/>
  <c r="K97" i="13"/>
  <c r="O96" i="13"/>
  <c r="N96" i="13"/>
  <c r="M96" i="13"/>
  <c r="L96" i="13"/>
  <c r="K96" i="13"/>
  <c r="O95" i="13"/>
  <c r="N95" i="13"/>
  <c r="M95" i="13"/>
  <c r="L95" i="13"/>
  <c r="K95" i="13"/>
  <c r="O94" i="13"/>
  <c r="N94" i="13"/>
  <c r="M94" i="13"/>
  <c r="L94" i="13"/>
  <c r="K94" i="13"/>
  <c r="O93" i="13"/>
  <c r="N93" i="13"/>
  <c r="M93" i="13"/>
  <c r="L93" i="13"/>
  <c r="K93" i="13"/>
  <c r="O91" i="13"/>
  <c r="N91" i="13"/>
  <c r="M91" i="13"/>
  <c r="L91" i="13"/>
  <c r="K91" i="13"/>
  <c r="O89" i="13"/>
  <c r="N89" i="13"/>
  <c r="M89" i="13"/>
  <c r="L89" i="13"/>
  <c r="K89" i="13"/>
  <c r="O87" i="13"/>
  <c r="N87" i="13"/>
  <c r="M87" i="13"/>
  <c r="L87" i="13"/>
  <c r="K87" i="13"/>
  <c r="O85" i="13"/>
  <c r="N85" i="13"/>
  <c r="M85" i="13"/>
  <c r="L85" i="13"/>
  <c r="K85" i="13"/>
  <c r="O84" i="13"/>
  <c r="N84" i="13"/>
  <c r="M84" i="13"/>
  <c r="L84" i="13"/>
  <c r="K84" i="13"/>
  <c r="O83" i="13"/>
  <c r="N83" i="13"/>
  <c r="M83" i="13"/>
  <c r="L83" i="13"/>
  <c r="K83" i="13"/>
  <c r="O82" i="13"/>
  <c r="N82" i="13"/>
  <c r="M82" i="13"/>
  <c r="L82" i="13"/>
  <c r="K82" i="13"/>
  <c r="O81" i="13"/>
  <c r="N81" i="13"/>
  <c r="M81" i="13"/>
  <c r="L81" i="13"/>
  <c r="K81" i="13"/>
  <c r="O80" i="13"/>
  <c r="N80" i="13"/>
  <c r="M80" i="13"/>
  <c r="L80" i="13"/>
  <c r="K80" i="13"/>
  <c r="O79" i="13"/>
  <c r="N79" i="13"/>
  <c r="M79" i="13"/>
  <c r="L79" i="13"/>
  <c r="K79" i="13"/>
  <c r="O77" i="13"/>
  <c r="N77" i="13"/>
  <c r="M77" i="13"/>
  <c r="L77" i="13"/>
  <c r="K77" i="13"/>
  <c r="O75" i="13"/>
  <c r="N75" i="13"/>
  <c r="M75" i="13"/>
  <c r="L75" i="13"/>
  <c r="K75" i="13"/>
  <c r="O74" i="13"/>
  <c r="N74" i="13"/>
  <c r="M74" i="13"/>
  <c r="L74" i="13"/>
  <c r="K74" i="13"/>
  <c r="O73" i="13"/>
  <c r="N73" i="13"/>
  <c r="M73" i="13"/>
  <c r="L73" i="13"/>
  <c r="K73" i="13"/>
  <c r="O72" i="13"/>
  <c r="N72" i="13"/>
  <c r="M72" i="13"/>
  <c r="L72" i="13"/>
  <c r="K72" i="13"/>
  <c r="O71" i="13"/>
  <c r="N71" i="13"/>
  <c r="M71" i="13"/>
  <c r="L71" i="13"/>
  <c r="K71" i="13"/>
  <c r="O68" i="13"/>
  <c r="N68" i="13"/>
  <c r="M68" i="13"/>
  <c r="L68" i="13"/>
  <c r="K68" i="13"/>
  <c r="O67" i="13"/>
  <c r="N67" i="13"/>
  <c r="M67" i="13"/>
  <c r="L67" i="13"/>
  <c r="K67" i="13"/>
  <c r="O66" i="13"/>
  <c r="N66" i="13"/>
  <c r="M66" i="13"/>
  <c r="L66" i="13"/>
  <c r="K66" i="13"/>
  <c r="O65" i="13"/>
  <c r="N65" i="13"/>
  <c r="M65" i="13"/>
  <c r="L65" i="13"/>
  <c r="K65" i="13"/>
  <c r="O64" i="13"/>
  <c r="N64" i="13"/>
  <c r="M64" i="13"/>
  <c r="L64" i="13"/>
  <c r="K64" i="13"/>
  <c r="O62" i="13"/>
  <c r="N62" i="13"/>
  <c r="M62" i="13"/>
  <c r="L62" i="13"/>
  <c r="K62" i="13"/>
  <c r="K61" i="13"/>
  <c r="O61" i="13"/>
  <c r="N61" i="13"/>
  <c r="M61" i="13"/>
  <c r="L61" i="13"/>
  <c r="O59" i="13"/>
  <c r="N59" i="13"/>
  <c r="M59" i="13"/>
  <c r="L59" i="13"/>
  <c r="O57" i="13"/>
  <c r="N57" i="13"/>
  <c r="M57" i="13"/>
  <c r="L57" i="13"/>
  <c r="O56" i="13"/>
  <c r="N56" i="13"/>
  <c r="M56" i="13"/>
  <c r="L56" i="13"/>
  <c r="O55" i="13"/>
  <c r="N55" i="13"/>
  <c r="M55" i="13"/>
  <c r="L55" i="13"/>
  <c r="O54" i="13"/>
  <c r="N54" i="13"/>
  <c r="M54" i="13"/>
  <c r="L54" i="13"/>
  <c r="O53" i="13"/>
  <c r="N53" i="13"/>
  <c r="M53" i="13"/>
  <c r="L53" i="13"/>
  <c r="O52" i="13"/>
  <c r="N52" i="13"/>
  <c r="M52" i="13"/>
  <c r="L52" i="13"/>
  <c r="O50" i="13"/>
  <c r="N50" i="13"/>
  <c r="M50" i="13"/>
  <c r="L50" i="13"/>
  <c r="K50" i="13"/>
  <c r="O48" i="13"/>
  <c r="N48" i="13"/>
  <c r="M48" i="13"/>
  <c r="L48" i="13"/>
  <c r="K48" i="13"/>
  <c r="O46" i="13"/>
  <c r="N46" i="13"/>
  <c r="M46" i="13"/>
  <c r="L46" i="13"/>
  <c r="K46" i="13"/>
  <c r="O45" i="13"/>
  <c r="N45" i="13"/>
  <c r="M45" i="13"/>
  <c r="L45" i="13"/>
  <c r="K45" i="13"/>
  <c r="K6" i="13"/>
  <c r="L6" i="13"/>
  <c r="M6" i="13"/>
  <c r="N6" i="13"/>
  <c r="O6" i="13"/>
  <c r="K7" i="13"/>
  <c r="L7" i="13"/>
  <c r="M7" i="13"/>
  <c r="N7" i="13"/>
  <c r="O7" i="13"/>
  <c r="K8" i="13"/>
  <c r="L8" i="13"/>
  <c r="M8" i="13"/>
  <c r="N8" i="13"/>
  <c r="O8" i="13"/>
  <c r="L5" i="13"/>
  <c r="M5" i="13"/>
  <c r="N5" i="13"/>
  <c r="O5" i="13"/>
  <c r="K5" i="13"/>
  <c r="R6" i="13"/>
  <c r="R7" i="13"/>
  <c r="R8" i="13"/>
  <c r="R9" i="13"/>
  <c r="R11" i="13"/>
  <c r="R12" i="13"/>
  <c r="R14" i="13"/>
  <c r="R15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33" i="13"/>
  <c r="R34" i="13"/>
  <c r="R35" i="13"/>
  <c r="R36" i="13"/>
  <c r="R37" i="13"/>
  <c r="R39" i="13"/>
  <c r="R40" i="13"/>
  <c r="R41" i="13"/>
  <c r="R42" i="13"/>
  <c r="R43" i="13"/>
  <c r="R44" i="13"/>
  <c r="R45" i="13"/>
  <c r="R46" i="13"/>
  <c r="R47" i="13"/>
  <c r="R48" i="13"/>
  <c r="R49" i="13"/>
  <c r="R50" i="13"/>
  <c r="R51" i="13"/>
  <c r="R52" i="13"/>
  <c r="R53" i="13"/>
  <c r="R54" i="13"/>
  <c r="R55" i="13"/>
  <c r="R56" i="13"/>
  <c r="R57" i="13"/>
  <c r="R59" i="13"/>
  <c r="R60" i="13"/>
  <c r="R61" i="13"/>
  <c r="R62" i="13"/>
  <c r="R63" i="13"/>
  <c r="R64" i="13"/>
  <c r="R65" i="13"/>
  <c r="R66" i="13"/>
  <c r="R67" i="13"/>
  <c r="R68" i="13"/>
  <c r="R69" i="13"/>
  <c r="R70" i="13"/>
  <c r="R71" i="13"/>
  <c r="R72" i="13"/>
  <c r="R73" i="13"/>
  <c r="R74" i="13"/>
  <c r="R75" i="13"/>
  <c r="R76" i="13"/>
  <c r="R77" i="13"/>
  <c r="R78" i="13"/>
  <c r="R79" i="13"/>
  <c r="R80" i="13"/>
  <c r="R81" i="13"/>
  <c r="R82" i="13"/>
  <c r="R83" i="13"/>
  <c r="R84" i="13"/>
  <c r="R85" i="13"/>
  <c r="R86" i="13"/>
  <c r="R87" i="13"/>
  <c r="R88" i="13"/>
  <c r="R89" i="13"/>
  <c r="R90" i="13"/>
  <c r="R91" i="13"/>
  <c r="R92" i="13"/>
  <c r="R93" i="13"/>
  <c r="R94" i="13"/>
  <c r="R95" i="13"/>
  <c r="R96" i="13"/>
  <c r="R97" i="13"/>
  <c r="R98" i="13"/>
  <c r="R99" i="13"/>
  <c r="R100" i="13"/>
  <c r="R101" i="13"/>
  <c r="R102" i="13"/>
  <c r="R103" i="13"/>
  <c r="R104" i="13"/>
  <c r="R105" i="13"/>
  <c r="R106" i="13"/>
  <c r="R107" i="13"/>
  <c r="R108" i="13"/>
  <c r="R109" i="13"/>
  <c r="R110" i="13"/>
  <c r="R111" i="13"/>
  <c r="R112" i="13"/>
  <c r="R113" i="13"/>
  <c r="R114" i="13"/>
  <c r="R115" i="13"/>
  <c r="R116" i="13"/>
  <c r="R117" i="13"/>
  <c r="R118" i="13"/>
  <c r="R119" i="13"/>
  <c r="R120" i="13"/>
  <c r="R121" i="13"/>
  <c r="R123" i="13"/>
  <c r="R124" i="13"/>
  <c r="R125" i="13"/>
  <c r="R127" i="13"/>
  <c r="R128" i="13"/>
  <c r="R129" i="13"/>
  <c r="R130" i="13"/>
  <c r="R131" i="13"/>
  <c r="R132" i="13"/>
  <c r="R133" i="13"/>
  <c r="R134" i="13"/>
  <c r="R135" i="13"/>
  <c r="R137" i="13"/>
  <c r="R138" i="13"/>
  <c r="R139" i="13"/>
  <c r="R140" i="13"/>
  <c r="R141" i="13"/>
  <c r="R142" i="13"/>
  <c r="R143" i="13"/>
  <c r="R144" i="13"/>
  <c r="R145" i="13"/>
  <c r="R146" i="13"/>
  <c r="R147" i="13"/>
  <c r="R148" i="13"/>
  <c r="R149" i="13"/>
  <c r="R150" i="13"/>
  <c r="R151" i="13"/>
  <c r="R152" i="13"/>
  <c r="R153" i="13"/>
  <c r="R154" i="13"/>
  <c r="R155" i="13"/>
  <c r="R156" i="13"/>
  <c r="R159" i="13"/>
  <c r="R160" i="13"/>
  <c r="R161" i="13"/>
  <c r="R162" i="13"/>
  <c r="R163" i="13"/>
  <c r="R164" i="13"/>
  <c r="R165" i="13"/>
  <c r="R166" i="13"/>
  <c r="R167" i="13"/>
  <c r="R168" i="13"/>
  <c r="R169" i="13"/>
  <c r="R170" i="13"/>
  <c r="R171" i="13"/>
  <c r="R172" i="13"/>
  <c r="R173" i="13"/>
  <c r="R174" i="13"/>
  <c r="R175" i="13"/>
  <c r="R176" i="13"/>
  <c r="R177" i="13"/>
  <c r="R178" i="13"/>
  <c r="R179" i="13"/>
  <c r="R180" i="13"/>
  <c r="R181" i="13"/>
  <c r="R182" i="13"/>
  <c r="R183" i="13"/>
  <c r="R184" i="13"/>
  <c r="R185" i="13"/>
  <c r="R186" i="13"/>
  <c r="R187" i="13"/>
  <c r="R188" i="13"/>
  <c r="R189" i="13"/>
  <c r="R190" i="13"/>
  <c r="R191" i="13"/>
  <c r="R192" i="13"/>
  <c r="R193" i="13"/>
  <c r="R194" i="13"/>
  <c r="R195" i="13"/>
  <c r="R196" i="13"/>
  <c r="R197" i="13"/>
  <c r="R198" i="13"/>
  <c r="R199" i="13"/>
  <c r="R200" i="13"/>
  <c r="R201" i="13"/>
  <c r="R202" i="13"/>
  <c r="R203" i="13"/>
  <c r="R204" i="13"/>
  <c r="R205" i="13"/>
  <c r="R206" i="13"/>
  <c r="R207" i="13"/>
  <c r="R208" i="13"/>
  <c r="R5" i="13"/>
  <c r="I94" i="13"/>
  <c r="D17" i="13"/>
  <c r="D6" i="13"/>
  <c r="D7" i="13"/>
  <c r="D8" i="13"/>
  <c r="D9" i="13"/>
  <c r="D11" i="13"/>
  <c r="D12" i="13"/>
  <c r="D14" i="13"/>
  <c r="D15" i="13"/>
  <c r="D19" i="13"/>
  <c r="D21" i="13"/>
  <c r="D22" i="13"/>
  <c r="D24" i="13"/>
  <c r="D25" i="13"/>
  <c r="D26" i="13"/>
  <c r="D27" i="13"/>
  <c r="D29" i="13"/>
  <c r="D30" i="13"/>
  <c r="D31" i="13"/>
  <c r="D32" i="13"/>
  <c r="D34" i="13"/>
  <c r="D36" i="13"/>
  <c r="D37" i="13"/>
  <c r="D39" i="13"/>
  <c r="D40" i="13"/>
  <c r="D42" i="13"/>
  <c r="D43" i="13"/>
  <c r="D45" i="13"/>
  <c r="D46" i="13"/>
  <c r="D48" i="13"/>
  <c r="D50" i="13"/>
  <c r="D52" i="13"/>
  <c r="D53" i="13"/>
  <c r="D54" i="13"/>
  <c r="D55" i="13"/>
  <c r="D56" i="13"/>
  <c r="D57" i="13"/>
  <c r="D59" i="13"/>
  <c r="D61" i="13"/>
  <c r="D62" i="13"/>
  <c r="D64" i="13"/>
  <c r="D65" i="13"/>
  <c r="D66" i="13"/>
  <c r="D67" i="13"/>
  <c r="D68" i="13"/>
  <c r="D71" i="13"/>
  <c r="D72" i="13"/>
  <c r="D73" i="13"/>
  <c r="D74" i="13"/>
  <c r="D75" i="13"/>
  <c r="D77" i="13"/>
  <c r="D79" i="13"/>
  <c r="D80" i="13"/>
  <c r="D81" i="13"/>
  <c r="D82" i="13"/>
  <c r="D83" i="13"/>
  <c r="D84" i="13"/>
  <c r="D85" i="13"/>
  <c r="D87" i="13"/>
  <c r="D89" i="13"/>
  <c r="D90" i="13"/>
  <c r="D91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1" i="13"/>
  <c r="D112" i="13"/>
  <c r="D113" i="13"/>
  <c r="D114" i="13"/>
  <c r="D115" i="13"/>
  <c r="D116" i="13"/>
  <c r="D117" i="13"/>
  <c r="D118" i="13"/>
  <c r="D119" i="13"/>
  <c r="D120" i="13"/>
  <c r="D124" i="13"/>
  <c r="D127" i="13"/>
  <c r="D129" i="13"/>
  <c r="D130" i="13"/>
  <c r="D131" i="13"/>
  <c r="D134" i="13"/>
  <c r="D135" i="13"/>
  <c r="D137" i="13"/>
  <c r="D138" i="13"/>
  <c r="D139" i="13"/>
  <c r="D140" i="13"/>
  <c r="D142" i="13"/>
  <c r="D143" i="13"/>
  <c r="D144" i="13"/>
  <c r="D145" i="13"/>
  <c r="D147" i="13"/>
  <c r="D149" i="13"/>
  <c r="D151" i="13"/>
  <c r="D152" i="13"/>
  <c r="D154" i="13"/>
  <c r="D155" i="13"/>
  <c r="D156" i="13"/>
  <c r="D160" i="13"/>
  <c r="D162" i="13"/>
  <c r="D164" i="13"/>
  <c r="D165" i="13"/>
  <c r="D167" i="13"/>
  <c r="D168" i="13"/>
  <c r="D169" i="13"/>
  <c r="D170" i="13"/>
  <c r="D172" i="13"/>
  <c r="D174" i="13"/>
  <c r="D175" i="13"/>
  <c r="D177" i="13"/>
  <c r="D179" i="13"/>
  <c r="D181" i="13"/>
  <c r="D182" i="13"/>
  <c r="D187" i="13"/>
  <c r="D189" i="13"/>
  <c r="D190" i="13"/>
  <c r="D192" i="13"/>
  <c r="D193" i="13"/>
  <c r="D195" i="13"/>
  <c r="D197" i="13"/>
  <c r="D198" i="13"/>
  <c r="D199" i="13"/>
  <c r="D201" i="13"/>
  <c r="D202" i="13"/>
  <c r="D204" i="13"/>
  <c r="D206" i="13"/>
  <c r="D208" i="13"/>
  <c r="D5" i="13"/>
  <c r="J11" i="14"/>
  <c r="U9" i="13"/>
  <c r="U7" i="13"/>
  <c r="U6" i="13"/>
  <c r="H50" i="14" l="1"/>
  <c r="I50" i="14" s="1"/>
  <c r="J40" i="13"/>
  <c r="J19" i="13"/>
  <c r="J15" i="13"/>
  <c r="J91" i="13"/>
  <c r="J32" i="13"/>
  <c r="J9" i="13"/>
  <c r="J89" i="13"/>
  <c r="J27" i="13"/>
  <c r="J145" i="13"/>
  <c r="J87" i="13"/>
  <c r="J22" i="13"/>
  <c r="J62" i="13"/>
  <c r="J144" i="13"/>
  <c r="J75" i="13"/>
  <c r="J141" i="13"/>
  <c r="I53" i="14"/>
  <c r="I57" i="14"/>
  <c r="H51" i="14"/>
  <c r="G51" i="14" s="1"/>
  <c r="G37" i="14"/>
  <c r="H37" i="14" s="1"/>
  <c r="I37" i="14" s="1"/>
  <c r="G38" i="14"/>
  <c r="H38" i="14" s="1"/>
  <c r="G43" i="14"/>
  <c r="H43" i="14" s="1"/>
  <c r="I43" i="14" s="1"/>
  <c r="G47" i="14"/>
  <c r="H47" i="14" s="1"/>
  <c r="I47" i="14" s="1"/>
  <c r="G45" i="14"/>
  <c r="H45" i="14" s="1"/>
  <c r="I45" i="14" s="1"/>
  <c r="H52" i="14"/>
  <c r="I52" i="14" s="1"/>
  <c r="H40" i="14"/>
  <c r="I40" i="14" s="1"/>
  <c r="H33" i="14"/>
  <c r="H34" i="14"/>
  <c r="G34" i="14" s="1"/>
  <c r="I34" i="14" s="1"/>
  <c r="I56" i="14" l="1"/>
  <c r="I51" i="14"/>
  <c r="I38" i="14"/>
  <c r="I33" i="14"/>
  <c r="I55" i="14" l="1"/>
</calcChain>
</file>

<file path=xl/sharedStrings.xml><?xml version="1.0" encoding="utf-8"?>
<sst xmlns="http://schemas.openxmlformats.org/spreadsheetml/2006/main" count="980" uniqueCount="475">
  <si>
    <t>Applicant Site ID/EIF ID:</t>
  </si>
  <si>
    <t xml:space="preserve"> Applicant DBA:</t>
  </si>
  <si>
    <t>Reason for Submittal:</t>
  </si>
  <si>
    <t>Existing Site?</t>
  </si>
  <si>
    <t>Yes</t>
  </si>
  <si>
    <t>Estimate Date:</t>
  </si>
  <si>
    <t xml:space="preserve"> Equipment Description:</t>
  </si>
  <si>
    <t>ACTIVITY</t>
  </si>
  <si>
    <t>COST</t>
  </si>
  <si>
    <t>SUBTOTAL</t>
  </si>
  <si>
    <t>Engineering Services</t>
  </si>
  <si>
    <t>ETM</t>
  </si>
  <si>
    <t>Additional Evaluation and Processing Fees (Rule 40(d)(5))</t>
  </si>
  <si>
    <t>New Source Review</t>
  </si>
  <si>
    <t>NSR</t>
  </si>
  <si>
    <t>Monitoring Services</t>
  </si>
  <si>
    <t>AQI</t>
  </si>
  <si>
    <t>TNS</t>
  </si>
  <si>
    <t>NESHAPS/ATCM/NSPS</t>
  </si>
  <si>
    <t>HAP</t>
  </si>
  <si>
    <t>CEQA</t>
  </si>
  <si>
    <t>CEQ</t>
  </si>
  <si>
    <t>Source Testing Services</t>
  </si>
  <si>
    <t>Miscellaneous Fees</t>
  </si>
  <si>
    <t>Processing Fee (Rule 40(d)(1)(ii))</t>
  </si>
  <si>
    <t>EFX</t>
  </si>
  <si>
    <t>REN</t>
  </si>
  <si>
    <t>Emissions Fee (Rule 40(e)(2)(iv))</t>
  </si>
  <si>
    <t>EMF</t>
  </si>
  <si>
    <t xml:space="preserve">NOTES:   </t>
  </si>
  <si>
    <t xml:space="preserve">ESTIMATE TOTAL: </t>
  </si>
  <si>
    <t>(2) The fees contained in this estimate are are based on APCD Rule 40. Final fee may be more or less than this estimate (see Rule 40(d)(1)(iii)).</t>
  </si>
  <si>
    <t>(3) Emissions determined to be greater than 5 tons per year will be charged a emission fee on a ton per year basis. (see Rule 40 (e)(2)(iv)(A))</t>
  </si>
  <si>
    <t>(4)  Fees paid by credit card will be assessed a 2.19% processing fee (see Rule 40(c)(5))</t>
  </si>
  <si>
    <t>(5)  Federal government payments made through DFAS: Please reference the above liste Site ID Record number in your DFAS submittal.</t>
  </si>
  <si>
    <r>
      <rPr>
        <b/>
        <sz val="12"/>
        <rFont val="Times New Roman"/>
        <family val="1"/>
      </rPr>
      <t>TABLE 1 - PROPOSED RULE 40 – SUMMARY OF REVISED FEE SCHEDULES 1 - 59</t>
    </r>
  </si>
  <si>
    <r>
      <rPr>
        <b/>
        <sz val="11"/>
        <rFont val="Times New Roman"/>
        <family val="1"/>
      </rPr>
      <t>Fee Sched.</t>
    </r>
  </si>
  <si>
    <t>Initial Evaluation Fee</t>
  </si>
  <si>
    <t xml:space="preserve"> Emission Unit Renewal Fee</t>
  </si>
  <si>
    <r>
      <rPr>
        <sz val="10"/>
        <rFont val="Times New Roman"/>
        <family val="1"/>
      </rPr>
      <t>A</t>
    </r>
  </si>
  <si>
    <r>
      <rPr>
        <sz val="10"/>
        <rFont val="Times New Roman"/>
        <family val="1"/>
      </rPr>
      <t>Each Pot 100 pounds capacity or larger with no Peripheral Equipment</t>
    </r>
  </si>
  <si>
    <t>T+M</t>
  </si>
  <si>
    <t>Application</t>
  </si>
  <si>
    <r>
      <rPr>
        <sz val="10"/>
        <rFont val="Times New Roman"/>
        <family val="1"/>
      </rPr>
      <t>B</t>
    </r>
  </si>
  <si>
    <r>
      <rPr>
        <sz val="10"/>
        <rFont val="Times New Roman"/>
        <family val="1"/>
      </rPr>
      <t>Each Pot 100 pounds capacity or larger loaded Pneumatically or from Storage Hoppers</t>
    </r>
  </si>
  <si>
    <t>Emissions</t>
  </si>
  <si>
    <r>
      <rPr>
        <sz val="10"/>
        <rFont val="Times New Roman"/>
        <family val="1"/>
      </rPr>
      <t>C</t>
    </r>
  </si>
  <si>
    <r>
      <rPr>
        <sz val="10"/>
        <rFont val="Times New Roman"/>
        <family val="1"/>
      </rPr>
      <t>Each Bulk Abrasive Blasting Material Storage System</t>
    </r>
  </si>
  <si>
    <t>N/A</t>
  </si>
  <si>
    <r>
      <rPr>
        <sz val="10"/>
        <rFont val="Times New Roman"/>
        <family val="1"/>
      </rPr>
      <t>D</t>
    </r>
  </si>
  <si>
    <r>
      <rPr>
        <sz val="10"/>
        <rFont val="Times New Roman"/>
        <family val="1"/>
      </rPr>
      <t>Each Spent Abrasive Handling System</t>
    </r>
  </si>
  <si>
    <r>
      <rPr>
        <sz val="10"/>
        <rFont val="Times New Roman"/>
        <family val="1"/>
      </rPr>
      <t>X</t>
    </r>
  </si>
  <si>
    <t>LKR</t>
  </si>
  <si>
    <t>Associate Engineer</t>
  </si>
  <si>
    <r>
      <rPr>
        <sz val="10"/>
        <rFont val="Times New Roman"/>
        <family val="1"/>
      </rPr>
      <t>W</t>
    </r>
  </si>
  <si>
    <r>
      <rPr>
        <sz val="10"/>
        <rFont val="Times New Roman"/>
        <family val="1"/>
      </rPr>
      <t>Each Kettle or Tanker, Registered Under Rule 12</t>
    </r>
  </si>
  <si>
    <r>
      <rPr>
        <sz val="10"/>
        <rFont val="Times New Roman"/>
        <family val="1"/>
      </rPr>
      <t>Each Hot-Mix Asphalt Paving Batch Plant</t>
    </r>
  </si>
  <si>
    <r>
      <rPr>
        <sz val="10"/>
        <rFont val="Times New Roman"/>
        <family val="1"/>
      </rPr>
      <t>Each Drill, Registered Under Rule 12</t>
    </r>
  </si>
  <si>
    <r>
      <rPr>
        <sz val="10"/>
        <rFont val="Times New Roman"/>
        <family val="1"/>
      </rPr>
      <t>Each Screen Set</t>
    </r>
  </si>
  <si>
    <r>
      <rPr>
        <sz val="10"/>
        <rFont val="Times New Roman"/>
        <family val="1"/>
      </rPr>
      <t>Each Portable Sand and Gravel Screen Set, Registered Under Rule 12.1</t>
    </r>
  </si>
  <si>
    <r>
      <rPr>
        <sz val="10"/>
        <rFont val="Times New Roman"/>
        <family val="1"/>
      </rPr>
      <t>Each Plant</t>
    </r>
  </si>
  <si>
    <r>
      <rPr>
        <sz val="10"/>
        <rFont val="Times New Roman"/>
        <family val="1"/>
      </rPr>
      <t>Each 1 MM BTU/HR up to but not including 50 MM BTU/HR input</t>
    </r>
  </si>
  <si>
    <r>
      <rPr>
        <sz val="10"/>
        <rFont val="Times New Roman"/>
        <family val="1"/>
      </rPr>
      <t>Each 50 MM BTU/HR up to but not including 250 MM BTU/HR</t>
    </r>
  </si>
  <si>
    <t>RESERVED</t>
  </si>
  <si>
    <r>
      <rPr>
        <sz val="10"/>
        <rFont val="Times New Roman"/>
        <family val="1"/>
      </rPr>
      <t>E</t>
    </r>
  </si>
  <si>
    <r>
      <rPr>
        <sz val="10"/>
        <rFont val="Times New Roman"/>
        <family val="1"/>
      </rPr>
      <t>RESERVED</t>
    </r>
  </si>
  <si>
    <r>
      <rPr>
        <sz val="10"/>
        <rFont val="Times New Roman"/>
        <family val="1"/>
      </rPr>
      <t>F</t>
    </r>
  </si>
  <si>
    <r>
      <rPr>
        <sz val="10"/>
        <rFont val="Times New Roman"/>
        <family val="1"/>
      </rPr>
      <t>Each  1 MM BTU/HR up to but not including 50 MM BTU/HR input at a single site where more than 5 such units are located</t>
    </r>
  </si>
  <si>
    <r>
      <rPr>
        <sz val="10"/>
        <rFont val="Times New Roman"/>
        <family val="1"/>
      </rPr>
      <t>G</t>
    </r>
  </si>
  <si>
    <r>
      <rPr>
        <sz val="10"/>
        <rFont val="Times New Roman"/>
        <family val="1"/>
      </rPr>
      <t>H</t>
    </r>
  </si>
  <si>
    <t>W</t>
  </si>
  <si>
    <t>Each unit greater than 2 MM BTU/HR to less than 5 MM BTU/HR,
Registered Under Rule 12</t>
  </si>
  <si>
    <r>
      <rPr>
        <sz val="10"/>
        <rFont val="Times New Roman"/>
        <family val="1"/>
      </rPr>
      <t>Burning capacity up to and including 50 lbs/hr used exclusively for the incineration or cremation of animals</t>
    </r>
  </si>
  <si>
    <r>
      <rPr>
        <sz val="10"/>
        <rFont val="Times New Roman"/>
        <family val="1"/>
      </rPr>
      <t>Each Electric Motor/Armature Refurbishing Oven</t>
    </r>
  </si>
  <si>
    <t>Each Pit or Stationary Crucible/Pot Furnace</t>
  </si>
  <si>
    <r>
      <rPr>
        <sz val="10"/>
        <rFont val="Times New Roman"/>
        <family val="1"/>
      </rPr>
      <t>Each Tank</t>
    </r>
  </si>
  <si>
    <r>
      <rPr>
        <sz val="10"/>
        <rFont val="Times New Roman"/>
        <family val="1"/>
      </rPr>
      <t>Each Aircraft Propulsion Test Cell or Stand at a facility where more than one such unit is located</t>
    </r>
  </si>
  <si>
    <r>
      <rPr>
        <sz val="10"/>
        <rFont val="Times New Roman"/>
        <family val="1"/>
      </rPr>
      <t>Each Non-Aircraft Turbine Test Cell or Stand</t>
    </r>
  </si>
  <si>
    <r>
      <rPr>
        <sz val="10"/>
        <rFont val="Times New Roman"/>
        <family val="1"/>
      </rPr>
      <t>Each Non-Aircraft Turbine Engine 1 MM BTU/HR up to but not including 50 MM BTU/HR input</t>
    </r>
  </si>
  <si>
    <r>
      <rPr>
        <sz val="10"/>
        <rFont val="Times New Roman"/>
        <family val="1"/>
      </rPr>
      <t>Each Non-Aircraft Turbine Engine 50 MM BTU/HR up to but not including 250 MM BTU/HR input</t>
    </r>
  </si>
  <si>
    <r>
      <rPr>
        <sz val="10"/>
        <rFont val="Times New Roman"/>
        <family val="1"/>
      </rPr>
      <t>Each Non-Aircraft Turbine Engine 250 MM BTU/HR or greater input</t>
    </r>
  </si>
  <si>
    <r>
      <rPr>
        <sz val="10"/>
        <rFont val="Times New Roman"/>
        <family val="1"/>
      </rPr>
      <t>Each Standby Gas Turbine used for Emergency Power Generation</t>
    </r>
  </si>
  <si>
    <r>
      <rPr>
        <sz val="10"/>
        <rFont val="Times New Roman"/>
        <family val="1"/>
      </rPr>
      <t>Each Paper or Wood Shredder or Hammermill Grinder</t>
    </r>
  </si>
  <si>
    <r>
      <rPr>
        <sz val="10"/>
        <rFont val="Times New Roman"/>
        <family val="1"/>
      </rPr>
      <t>Each Receiving System (includes Silos)</t>
    </r>
  </si>
  <si>
    <r>
      <rPr>
        <sz val="10"/>
        <rFont val="Times New Roman"/>
        <family val="1"/>
      </rPr>
      <t>Each Grinder, Cracker, or Roll Mill</t>
    </r>
  </si>
  <si>
    <r>
      <rPr>
        <sz val="10"/>
        <rFont val="Times New Roman"/>
        <family val="1"/>
      </rPr>
      <t>Each Shaker Stack, Screen Set, Pelletizer System, Grain Cleaner, or Hammermill</t>
    </r>
  </si>
  <si>
    <r>
      <rPr>
        <sz val="10"/>
        <rFont val="Times New Roman"/>
        <family val="1"/>
      </rPr>
      <t>Each Mixer System</t>
    </r>
  </si>
  <si>
    <r>
      <rPr>
        <sz val="10"/>
        <rFont val="Times New Roman"/>
        <family val="1"/>
      </rPr>
      <t>Each Truck or Rail Loading System</t>
    </r>
  </si>
  <si>
    <r>
      <rPr>
        <sz val="10"/>
        <rFont val="Times New Roman"/>
        <family val="1"/>
      </rPr>
      <t>Each Receiving System (Railroad, Ship and Truck Unloading</t>
    </r>
  </si>
  <si>
    <r>
      <rPr>
        <sz val="10"/>
        <rFont val="Times New Roman"/>
        <family val="1"/>
      </rPr>
      <t>Each Storage Silo System</t>
    </r>
  </si>
  <si>
    <r>
      <rPr>
        <sz val="10"/>
        <rFont val="Times New Roman"/>
        <family val="1"/>
      </rPr>
      <t>Each Loadout Station System</t>
    </r>
  </si>
  <si>
    <r>
      <rPr>
        <sz val="10"/>
        <rFont val="Times New Roman"/>
        <family val="1"/>
      </rPr>
      <t>Each Belt Transfer Station</t>
    </r>
  </si>
  <si>
    <t xml:space="preserve">Each Grain Silo at beer breweries producing less than 100,000
barrels (3.1 million gallons) per year, Registered Under Rule 12 </t>
  </si>
  <si>
    <r>
      <rPr>
        <sz val="10"/>
        <rFont val="Times New Roman"/>
        <family val="1"/>
      </rPr>
      <t>Each Dry Chemical Mixer with capacity over one-half cubic yard</t>
    </r>
  </si>
  <si>
    <r>
      <rPr>
        <sz val="10"/>
        <rFont val="Times New Roman"/>
        <family val="1"/>
      </rPr>
      <t>Per Tank</t>
    </r>
  </si>
  <si>
    <r>
      <rPr>
        <sz val="10"/>
        <rFont val="Times New Roman"/>
        <family val="1"/>
      </rPr>
      <t>Tank Rim Seal Replacement</t>
    </r>
  </si>
  <si>
    <r>
      <rPr>
        <sz val="10"/>
        <rFont val="Times New Roman"/>
        <family val="1"/>
      </rPr>
      <t>Per Truck Loading Head</t>
    </r>
  </si>
  <si>
    <r>
      <rPr>
        <sz val="10"/>
        <rFont val="Times New Roman"/>
        <family val="1"/>
      </rPr>
      <t>Per Vapor Processor</t>
    </r>
  </si>
  <si>
    <r>
      <rPr>
        <sz val="10"/>
        <rFont val="Times New Roman"/>
        <family val="1"/>
      </rPr>
      <t>Per IR Loading Connector</t>
    </r>
  </si>
  <si>
    <r>
      <rPr>
        <sz val="10"/>
        <rFont val="Times New Roman"/>
        <family val="1"/>
      </rPr>
      <t>Facilities where Phase I and Phase II controls are required (includes Phase I fee)</t>
    </r>
  </si>
  <si>
    <r>
      <rPr>
        <sz val="10"/>
        <rFont val="Times New Roman"/>
        <family val="1"/>
      </rPr>
      <t>Facilities where only Phase I controls are required (includes tank replacement)</t>
    </r>
  </si>
  <si>
    <r>
      <rPr>
        <sz val="10"/>
        <rFont val="Times New Roman"/>
        <family val="1"/>
      </rPr>
      <t>First Permit to Operate for Marine Coating application at facilities emitting ≤ 10 tons/year of VOC from Marine Coating Operations</t>
    </r>
  </si>
  <si>
    <r>
      <rPr>
        <sz val="10"/>
        <rFont val="Times New Roman"/>
        <family val="1"/>
      </rPr>
      <t>T</t>
    </r>
  </si>
  <si>
    <r>
      <rPr>
        <sz val="10"/>
        <rFont val="Times New Roman"/>
        <family val="1"/>
      </rPr>
      <t>First Permit to Operate for Marine Coating application at facilities where combined coating and cleaning solvent usage is &lt; 3 gallons/day and &lt;100 gallons/year</t>
    </r>
  </si>
  <si>
    <r>
      <rPr>
        <sz val="10"/>
        <rFont val="Times New Roman"/>
        <family val="1"/>
      </rPr>
      <t>Each Surface Coating Application Station w/o control equipment and not covered by other fee schedules at facilities using &gt; 1 gallon/day of surface coatings and emitting ≤ 5 tons/year of VOC from equipment in this fee schedule</t>
    </r>
  </si>
  <si>
    <r>
      <rPr>
        <sz val="10"/>
        <rFont val="Times New Roman"/>
        <family val="1"/>
      </rPr>
      <t>Each Surface Coating Application Station w/o control equipment and not covered by other fee schedules at facilities emitting &gt; 5 tons/year of VOC from equipment in this fee schedule</t>
    </r>
  </si>
  <si>
    <r>
      <rPr>
        <sz val="10"/>
        <rFont val="Times New Roman"/>
        <family val="1"/>
      </rPr>
      <t>Each Fiberglass, Plastic or Foam Product Process Line at facilities emitting ≤10 tons/year of VOC from fiberglass, plastic or foam products operations</t>
    </r>
  </si>
  <si>
    <r>
      <rPr>
        <sz val="10"/>
        <rFont val="Times New Roman"/>
        <family val="1"/>
      </rPr>
      <t>I</t>
    </r>
  </si>
  <si>
    <r>
      <rPr>
        <sz val="10"/>
        <rFont val="Times New Roman"/>
        <family val="1"/>
      </rPr>
      <t>Each Surface Coating Application Station requiring Control Equipment</t>
    </r>
  </si>
  <si>
    <r>
      <rPr>
        <sz val="10"/>
        <rFont val="Times New Roman"/>
        <family val="1"/>
      </rPr>
      <t>J</t>
    </r>
  </si>
  <si>
    <r>
      <rPr>
        <sz val="10"/>
        <rFont val="Times New Roman"/>
        <family val="1"/>
      </rPr>
      <t>Each Surface Coating Application Station subject to Rule 67.3 or 67.9 w/o Control Equipment at facilities emitting ≤ 5 tons/year of VOC from equipment in this fee schedule</t>
    </r>
  </si>
  <si>
    <r>
      <rPr>
        <sz val="10"/>
        <rFont val="Times New Roman"/>
        <family val="1"/>
      </rPr>
      <t>K</t>
    </r>
  </si>
  <si>
    <r>
      <rPr>
        <sz val="10"/>
        <rFont val="Times New Roman"/>
        <family val="1"/>
      </rPr>
      <t>Each Surface Coating Application Station subject to Rule 67.3 or 67.9 w/o Control Equipment at facilities emitting &gt; 5 tons/year of VOC from equipment in this fee schedule</t>
    </r>
  </si>
  <si>
    <r>
      <rPr>
        <sz val="10"/>
        <rFont val="Times New Roman"/>
        <family val="1"/>
      </rPr>
      <t>L</t>
    </r>
  </si>
  <si>
    <t>Each Wood Products Coating Application Station w/o Control Equipment at facilities using &gt; 500 gallons/year of wood products coatings</t>
  </si>
  <si>
    <r>
      <rPr>
        <sz val="10"/>
        <rFont val="Times New Roman"/>
        <family val="1"/>
      </rPr>
      <t>M</t>
    </r>
  </si>
  <si>
    <r>
      <rPr>
        <sz val="10"/>
        <rFont val="Times New Roman"/>
        <family val="1"/>
      </rPr>
      <t>N</t>
    </r>
  </si>
  <si>
    <r>
      <rPr>
        <sz val="10"/>
        <rFont val="Times New Roman"/>
        <family val="1"/>
      </rPr>
      <t>Each Press or Operation at a Printing or Graphic Arts facility subject to Rule 67.16</t>
    </r>
  </si>
  <si>
    <r>
      <rPr>
        <sz val="10"/>
        <rFont val="Times New Roman"/>
        <family val="1"/>
      </rPr>
      <t>O</t>
    </r>
  </si>
  <si>
    <t>Each Fiberglass, Plastic or Foam Product Process Line Using Only Polyester Resin</t>
  </si>
  <si>
    <r>
      <rPr>
        <sz val="10"/>
        <rFont val="Times New Roman"/>
        <family val="1"/>
      </rPr>
      <t>P</t>
    </r>
  </si>
  <si>
    <r>
      <rPr>
        <sz val="10"/>
        <rFont val="Times New Roman"/>
        <family val="1"/>
      </rPr>
      <t>Each Surface Coating Application Station w/o control equipment (except automotive painting) where combined coating, and cleaning solvent usage is &lt; 1 gallon/day or &lt; 50 gallons/year</t>
    </r>
  </si>
  <si>
    <r>
      <rPr>
        <sz val="10"/>
        <rFont val="Times New Roman"/>
        <family val="1"/>
      </rPr>
      <t>Q</t>
    </r>
  </si>
  <si>
    <r>
      <rPr>
        <sz val="10"/>
        <rFont val="Times New Roman"/>
        <family val="1"/>
      </rPr>
      <t>Each Wood Products Coating Application Station of coatings and stripper w/o control equipment at a facility using &lt; 500 gallons/year for Wood Products Coating Operations</t>
    </r>
  </si>
  <si>
    <r>
      <rPr>
        <sz val="10"/>
        <rFont val="Times New Roman"/>
        <family val="1"/>
      </rPr>
      <t>R</t>
    </r>
  </si>
  <si>
    <r>
      <rPr>
        <sz val="10"/>
        <rFont val="Times New Roman"/>
        <family val="1"/>
      </rPr>
      <t>Each facility applying &lt; 5 gallons/day of Coating Materials subject to Rule 67.20 (as applied or sprayed)</t>
    </r>
  </si>
  <si>
    <r>
      <rPr>
        <sz val="10"/>
        <rFont val="Times New Roman"/>
        <family val="1"/>
      </rPr>
      <t>U</t>
    </r>
  </si>
  <si>
    <r>
      <rPr>
        <sz val="10"/>
        <rFont val="Times New Roman"/>
        <family val="1"/>
      </rPr>
      <t>Each Adhesive Materials Application Station w/o control equipment at facilities emitting ≤ 5 tons/year of VOC from equipment in this fee schedule</t>
    </r>
  </si>
  <si>
    <r>
      <rPr>
        <sz val="10"/>
        <rFont val="Times New Roman"/>
        <family val="1"/>
      </rPr>
      <t>V</t>
    </r>
  </si>
  <si>
    <r>
      <rPr>
        <sz val="10"/>
        <rFont val="Times New Roman"/>
        <family val="1"/>
      </rPr>
      <t>Each Adhesive Materials Application Station w/o control equipment at facilities emitting &gt; 5 tons/year of VOC from equipment in this fee schedule</t>
    </r>
  </si>
  <si>
    <r>
      <rPr>
        <sz val="10"/>
        <rFont val="Times New Roman"/>
        <family val="1"/>
      </rPr>
      <t>Each Adhesive Materials Application Station w/o control equipment where adhesive materials usage is &lt; 55 gallons/year</t>
    </r>
  </si>
  <si>
    <r>
      <rPr>
        <sz val="10"/>
        <rFont val="Times New Roman"/>
        <family val="1"/>
      </rPr>
      <t>Each Vapor Degreaser with an Air Vapor Interfacial area &gt; 5 square feet</t>
    </r>
  </si>
  <si>
    <r>
      <rPr>
        <sz val="10"/>
        <rFont val="Times New Roman"/>
        <family val="1"/>
      </rPr>
      <t>Each Cold Solvent Degreaser with liquid surface area &gt; 5 square feet</t>
    </r>
  </si>
  <si>
    <r>
      <rPr>
        <sz val="10"/>
        <rFont val="Times New Roman"/>
        <family val="1"/>
      </rPr>
      <t>Each Paint Stripping Tank</t>
    </r>
  </si>
  <si>
    <r>
      <rPr>
        <sz val="10"/>
        <rFont val="Times New Roman"/>
        <family val="1"/>
      </rPr>
      <t>Remote Reservoir Cleaners</t>
    </r>
  </si>
  <si>
    <r>
      <rPr>
        <sz val="10"/>
        <rFont val="Times New Roman"/>
        <family val="1"/>
      </rPr>
      <t>Vapor Degreaser with an Air-Vapor Interfacial area ≤ 5 square feet</t>
    </r>
  </si>
  <si>
    <t>Cold Solvent Degreaser with a liquid surface area ≤ 5 square feet</t>
  </si>
  <si>
    <r>
      <rPr>
        <sz val="10"/>
        <rFont val="Times New Roman"/>
        <family val="1"/>
      </rPr>
      <t>Metal Inspection Tanks</t>
    </r>
  </si>
  <si>
    <r>
      <rPr>
        <sz val="10"/>
        <rFont val="Times New Roman"/>
        <family val="1"/>
      </rPr>
      <t>Contract Service Remote Reservoir Cleaners with &gt; 100 units</t>
    </r>
  </si>
  <si>
    <r>
      <rPr>
        <sz val="10"/>
        <rFont val="Times New Roman"/>
        <family val="1"/>
      </rPr>
      <t>Contract Service Cold Degreasers with a liquid surface area of ≤ 5 square feet</t>
    </r>
  </si>
  <si>
    <r>
      <rPr>
        <sz val="10"/>
        <rFont val="Times New Roman"/>
        <family val="1"/>
      </rPr>
      <t>Each facility-wide Solvent Application Operation</t>
    </r>
  </si>
  <si>
    <r>
      <rPr>
        <sz val="10"/>
        <rFont val="Times New Roman"/>
        <family val="1"/>
      </rPr>
      <t>Kelp and Biogum Products Solvent Dryer</t>
    </r>
  </si>
  <si>
    <r>
      <rPr>
        <sz val="10"/>
        <rFont val="Times New Roman"/>
        <family val="1"/>
      </rPr>
      <t>Each Facility using Petroleum Based Solvents</t>
    </r>
  </si>
  <si>
    <r>
      <rPr>
        <sz val="10"/>
        <rFont val="Times New Roman"/>
        <family val="1"/>
      </rPr>
      <t>Each Copper Etching Tank</t>
    </r>
  </si>
  <si>
    <r>
      <rPr>
        <sz val="10"/>
        <rFont val="Times New Roman"/>
        <family val="1"/>
      </rPr>
      <t>Each Acid Chemical Milling Tank</t>
    </r>
  </si>
  <si>
    <r>
      <rPr>
        <sz val="10"/>
        <rFont val="Times New Roman"/>
        <family val="1"/>
      </rPr>
      <t>Each Hot Dip Galvanizing Tank</t>
    </r>
  </si>
  <si>
    <r>
      <rPr>
        <sz val="10"/>
        <rFont val="Times New Roman"/>
        <family val="1"/>
      </rPr>
      <t>Each Cogeneration Engine with in-stack Emission Controls</t>
    </r>
  </si>
  <si>
    <r>
      <rPr>
        <sz val="10"/>
        <rFont val="Times New Roman"/>
        <family val="1"/>
      </rPr>
      <t>Each Cogeneration Engine with Engine Design Emission Controls</t>
    </r>
  </si>
  <si>
    <r>
      <rPr>
        <sz val="10"/>
        <rFont val="Times New Roman"/>
        <family val="1"/>
      </rPr>
      <t>Each Emergency Standby Engine (for electrical or fuel interruptions beyond control of Permittee)</t>
    </r>
  </si>
  <si>
    <r>
      <rPr>
        <sz val="10"/>
        <rFont val="Times New Roman"/>
        <family val="1"/>
      </rPr>
      <t>Each Engine for Non-Emergency and Non-Cogeneration Operation</t>
    </r>
  </si>
  <si>
    <r>
      <rPr>
        <sz val="10"/>
        <rFont val="Times New Roman"/>
        <family val="1"/>
      </rPr>
      <t>Each Grouping of Engines for Dredging or Crane Operation with total engine horsepower &gt; 200 HP</t>
    </r>
  </si>
  <si>
    <r>
      <rPr>
        <sz val="10"/>
        <rFont val="Times New Roman"/>
        <family val="1"/>
      </rPr>
      <t>Each Diesel Pile-Driving Hammer</t>
    </r>
  </si>
  <si>
    <r>
      <rPr>
        <sz val="10"/>
        <rFont val="Times New Roman"/>
        <family val="1"/>
      </rPr>
      <t>Each Engine for Non-Emergency and Non-Cogeneration Operation &lt; 200 horsepower</t>
    </r>
  </si>
  <si>
    <r>
      <rPr>
        <sz val="10"/>
        <rFont val="Times New Roman"/>
        <family val="1"/>
      </rPr>
      <t>Each Internal Combustion Engine Test Cell and Test Stand</t>
    </r>
  </si>
  <si>
    <t>L</t>
  </si>
  <si>
    <t>Each Diesel Particulate Filter Cleaning Process</t>
  </si>
  <si>
    <r>
      <rPr>
        <sz val="10"/>
        <rFont val="Times New Roman"/>
        <family val="1"/>
      </rPr>
      <t>Each Specified Eligible Engine, Registered Under Rule 12</t>
    </r>
  </si>
  <si>
    <r>
      <rPr>
        <sz val="10"/>
        <rFont val="Times New Roman"/>
        <family val="1"/>
      </rPr>
      <t>Each Specified Eligible Portable Engine, Registered Under Rule 12.1</t>
    </r>
  </si>
  <si>
    <r>
      <rPr>
        <sz val="10"/>
        <rFont val="Times New Roman"/>
        <family val="1"/>
      </rPr>
      <t>Each System</t>
    </r>
  </si>
  <si>
    <r>
      <rPr>
        <sz val="10"/>
        <rFont val="Times New Roman"/>
        <family val="1"/>
      </rPr>
      <t>Each Booth or Room</t>
    </r>
  </si>
  <si>
    <r>
      <rPr>
        <sz val="10"/>
        <rFont val="Times New Roman"/>
        <family val="1"/>
      </rPr>
      <t>Each Application Station</t>
    </r>
  </si>
  <si>
    <r>
      <rPr>
        <sz val="10"/>
        <rFont val="Times New Roman"/>
        <family val="1"/>
      </rPr>
      <t>Each Process Line for Paint, Adhesive, Stain, or Ink Manufacturing at facilities producing &gt; 10,000 gallons per year</t>
    </r>
  </si>
  <si>
    <r>
      <rPr>
        <sz val="10"/>
        <rFont val="Times New Roman"/>
        <family val="1"/>
      </rPr>
      <t>Each Can Filling Line</t>
    </r>
  </si>
  <si>
    <r>
      <rPr>
        <sz val="10"/>
        <rFont val="Times New Roman"/>
        <family val="1"/>
      </rPr>
      <t>Each Process Line for Solder Paste or Dielectric Paste Manufacturing</t>
    </r>
  </si>
  <si>
    <r>
      <rPr>
        <sz val="10"/>
        <rFont val="Times New Roman"/>
        <family val="1"/>
      </rPr>
      <t>Each Process Line</t>
    </r>
  </si>
  <si>
    <r>
      <rPr>
        <sz val="10"/>
        <rFont val="Times New Roman"/>
        <family val="1"/>
      </rPr>
      <t>Each Portable Unheated Pavement Crushing and Recycling System, Registration Under Rule 12.1</t>
    </r>
  </si>
  <si>
    <r>
      <rPr>
        <sz val="10"/>
        <rFont val="Times New Roman"/>
        <family val="1"/>
      </rPr>
      <t>Aztec Perlite (ID # APCD1978-SITE-01598)*</t>
    </r>
  </si>
  <si>
    <r>
      <rPr>
        <sz val="10"/>
        <rFont val="Times New Roman"/>
        <family val="1"/>
      </rPr>
      <t>Each Screen Printing Operation</t>
    </r>
  </si>
  <si>
    <r>
      <rPr>
        <sz val="10"/>
        <rFont val="Times New Roman"/>
        <family val="1"/>
      </rPr>
      <t>Each Coating/Maskant Application Operation, excluding Conformal Operation</t>
    </r>
  </si>
  <si>
    <r>
      <rPr>
        <sz val="10"/>
        <rFont val="Times New Roman"/>
        <family val="1"/>
      </rPr>
      <t>Each Conformal Coating Operation</t>
    </r>
  </si>
  <si>
    <r>
      <rPr>
        <sz val="10"/>
        <rFont val="Times New Roman"/>
        <family val="1"/>
      </rPr>
      <t>Evaporators and Dryers [other than those referenced in Fee Schedule 30 (a)] processing materials containing volatile organic compounds</t>
    </r>
  </si>
  <si>
    <r>
      <rPr>
        <sz val="10"/>
        <rFont val="Times New Roman"/>
        <family val="1"/>
      </rPr>
      <t>Solvent Recovery Stills, on-site, batch-type, solvent usage &gt; 350 gallons per day</t>
    </r>
  </si>
  <si>
    <r>
      <rPr>
        <sz val="10"/>
        <rFont val="Times New Roman"/>
        <family val="1"/>
      </rPr>
      <t>Each Organic Gas Sterilizer requiring control</t>
    </r>
  </si>
  <si>
    <t>Municipal Waste Storage and Processing - not subject to the ARB Methane Emissions Regulation</t>
  </si>
  <si>
    <t>Municipal Waste Storage and Processing - subject to the ARB Methane Emissions Regulation</t>
  </si>
  <si>
    <r>
      <rPr>
        <sz val="10"/>
        <rFont val="Times New Roman"/>
        <family val="1"/>
      </rPr>
      <t>Non-Operational Status Equipment</t>
    </r>
  </si>
  <si>
    <r>
      <rPr>
        <sz val="10"/>
        <rFont val="Times New Roman"/>
        <family val="1"/>
      </rPr>
      <t>Activating Non-Operational Status Equipment</t>
    </r>
  </si>
  <si>
    <r>
      <rPr>
        <sz val="10"/>
        <rFont val="Times New Roman"/>
        <family val="1"/>
      </rPr>
      <t>Each Coffee Roaster</t>
    </r>
  </si>
  <si>
    <r>
      <rPr>
        <sz val="10"/>
        <rFont val="Times New Roman"/>
        <family val="1"/>
      </rPr>
      <t>Each On-site Processing Line</t>
    </r>
  </si>
  <si>
    <r>
      <rPr>
        <sz val="10"/>
        <rFont val="Times New Roman"/>
        <family val="1"/>
      </rPr>
      <t xml:space="preserve">USN Air Station NORIS Public Works (ID # APCD1986-SITE-02755)
</t>
    </r>
    <r>
      <rPr>
        <sz val="10"/>
        <rFont val="Times New Roman"/>
        <family val="1"/>
      </rPr>
      <t>*</t>
    </r>
  </si>
  <si>
    <r>
      <rPr>
        <sz val="10"/>
        <rFont val="Times New Roman"/>
        <family val="1"/>
      </rPr>
      <t>Air Stripping Equipment</t>
    </r>
  </si>
  <si>
    <r>
      <rPr>
        <sz val="10"/>
        <rFont val="Times New Roman"/>
        <family val="1"/>
      </rPr>
      <t>Soil Remediation Equipment - On-site (In situ Only)</t>
    </r>
  </si>
  <si>
    <r>
      <rPr>
        <sz val="10"/>
        <rFont val="Times New Roman"/>
        <family val="1"/>
      </rPr>
      <t>Each Pharmaceutical Manufacturing Process Line</t>
    </r>
  </si>
  <si>
    <r>
      <rPr>
        <sz val="10"/>
        <rFont val="Times New Roman"/>
        <family val="1"/>
      </rPr>
      <t>Each Hard or Decorative Chrome plating and/or Anodizing Tank or Group of Tanks Served by an Emission Control System</t>
    </r>
  </si>
  <si>
    <r>
      <rPr>
        <sz val="10"/>
        <rFont val="Times New Roman"/>
        <family val="1"/>
      </rPr>
      <t>Each Decorative Plating Tank without Add-on Emission Controls</t>
    </r>
  </si>
  <si>
    <t>D</t>
  </si>
  <si>
    <t>Each Chromate Conversion Tank</t>
  </si>
  <si>
    <r>
      <rPr>
        <sz val="10"/>
        <rFont val="Times New Roman"/>
        <family val="1"/>
      </rPr>
      <t>Each Wastewater Treatment Facility, or Each Water Reclamation Facility</t>
    </r>
  </si>
  <si>
    <r>
      <rPr>
        <sz val="10"/>
        <rFont val="Times New Roman"/>
        <family val="1"/>
      </rPr>
      <t>Each Wastewater Pump Station</t>
    </r>
  </si>
  <si>
    <r>
      <rPr>
        <sz val="10"/>
        <rFont val="Times New Roman"/>
        <family val="1"/>
      </rPr>
      <t>Bakery Ovens at Facilities with Emission Controls Pursuant to Rule 67.24</t>
    </r>
  </si>
  <si>
    <r>
      <rPr>
        <sz val="10"/>
        <rFont val="Times New Roman"/>
        <family val="1"/>
      </rPr>
      <t>Portable Asbestos Mastic Removal Application Station</t>
    </r>
  </si>
  <si>
    <t>Miscellaneous Operations</t>
  </si>
  <si>
    <t>Like Kind Replacement</t>
  </si>
  <si>
    <r>
      <rPr>
        <b/>
        <sz val="11"/>
        <rFont val="Times New Roman"/>
        <family val="1"/>
      </rPr>
      <t>TABLE 2 - PROPOSED RULE 40 – SUMMARY OF REVISED SOURCE TESTING FEES</t>
    </r>
  </si>
  <si>
    <r>
      <rPr>
        <sz val="11"/>
        <rFont val="Times New Roman"/>
        <family val="1"/>
      </rPr>
      <t>A</t>
    </r>
  </si>
  <si>
    <r>
      <rPr>
        <sz val="11"/>
        <rFont val="Times New Roman"/>
        <family val="1"/>
      </rPr>
      <t>B</t>
    </r>
  </si>
  <si>
    <r>
      <rPr>
        <sz val="11"/>
        <rFont val="Times New Roman"/>
        <family val="1"/>
      </rPr>
      <t>C</t>
    </r>
  </si>
  <si>
    <t>Each Sulfur Oxides Source Test</t>
  </si>
  <si>
    <r>
      <rPr>
        <sz val="11"/>
        <rFont val="Times New Roman"/>
        <family val="1"/>
      </rPr>
      <t>D</t>
    </r>
  </si>
  <si>
    <t>Annual Fee for each Biennial Cycle Test for NOx and CO (1/2 the cost of one test)</t>
  </si>
  <si>
    <r>
      <rPr>
        <sz val="11"/>
        <rFont val="Times New Roman"/>
        <family val="1"/>
      </rPr>
      <t>E</t>
    </r>
  </si>
  <si>
    <t>Each Ethylene Oxide Source Test</t>
  </si>
  <si>
    <r>
      <rPr>
        <sz val="11"/>
        <rFont val="Times New Roman"/>
        <family val="1"/>
      </rPr>
      <t>F</t>
    </r>
  </si>
  <si>
    <t>Each Carbon Monoxide and Nitrogen Oxides Source Test</t>
  </si>
  <si>
    <r>
      <rPr>
        <sz val="11"/>
        <rFont val="Times New Roman"/>
        <family val="1"/>
      </rPr>
      <t>G</t>
    </r>
  </si>
  <si>
    <t>Each Nitrogen Oxides Source Test</t>
  </si>
  <si>
    <r>
      <rPr>
        <sz val="11"/>
        <rFont val="Times New Roman"/>
        <family val="1"/>
      </rPr>
      <t>H</t>
    </r>
  </si>
  <si>
    <t>Each Incinerator Particulate Matter Source Test with Waste Burning Capacity of &gt; 100 lbs Per Hour</t>
  </si>
  <si>
    <r>
      <rPr>
        <sz val="11"/>
        <rFont val="Times New Roman"/>
        <family val="1"/>
      </rPr>
      <t>I</t>
    </r>
  </si>
  <si>
    <t>Each Ammonia Source Test</t>
  </si>
  <si>
    <r>
      <rPr>
        <sz val="11"/>
        <rFont val="Times New Roman"/>
        <family val="1"/>
      </rPr>
      <t>J</t>
    </r>
  </si>
  <si>
    <t>Continuous Emission Monitor System Evaluation</t>
  </si>
  <si>
    <r>
      <rPr>
        <sz val="11"/>
        <rFont val="Times New Roman"/>
        <family val="1"/>
      </rPr>
      <t>K</t>
    </r>
  </si>
  <si>
    <t>Incinerator Particulate Matter Source Test with Waste Burning Capacity of &lt; 100 lbs Per Hour</t>
  </si>
  <si>
    <r>
      <rPr>
        <sz val="11"/>
        <rFont val="Times New Roman"/>
        <family val="1"/>
      </rPr>
      <t>L</t>
    </r>
  </si>
  <si>
    <r>
      <rPr>
        <sz val="11"/>
        <rFont val="Times New Roman"/>
        <family val="1"/>
      </rPr>
      <t>M</t>
    </r>
  </si>
  <si>
    <t>Each Mass Emissions Source Test</t>
  </si>
  <si>
    <r>
      <rPr>
        <sz val="11"/>
        <rFont val="Times New Roman"/>
        <family val="1"/>
      </rPr>
      <t>N</t>
    </r>
  </si>
  <si>
    <r>
      <rPr>
        <sz val="11"/>
        <rFont val="Times New Roman"/>
        <family val="1"/>
      </rPr>
      <t>O</t>
    </r>
  </si>
  <si>
    <t>Each Multiple Metals Source Test</t>
  </si>
  <si>
    <r>
      <rPr>
        <sz val="11"/>
        <rFont val="Times New Roman"/>
        <family val="1"/>
      </rPr>
      <t>P</t>
    </r>
  </si>
  <si>
    <t>Each Chromium Source Test</t>
  </si>
  <si>
    <r>
      <rPr>
        <sz val="11"/>
        <rFont val="Times New Roman"/>
        <family val="1"/>
      </rPr>
      <t>Q</t>
    </r>
  </si>
  <si>
    <t>Each VOC Onsite Analysis</t>
  </si>
  <si>
    <r>
      <rPr>
        <sz val="11"/>
        <rFont val="Times New Roman"/>
        <family val="1"/>
      </rPr>
      <t>R</t>
    </r>
  </si>
  <si>
    <t>Each VOC Offsite Analysis</t>
  </si>
  <si>
    <r>
      <rPr>
        <sz val="11"/>
        <rFont val="Times New Roman"/>
        <family val="1"/>
      </rPr>
      <t>S</t>
    </r>
  </si>
  <si>
    <t>Each Hydrogen Sulfide Source Test</t>
  </si>
  <si>
    <r>
      <rPr>
        <sz val="11"/>
        <rFont val="Times New Roman"/>
        <family val="1"/>
      </rPr>
      <t>T</t>
    </r>
  </si>
  <si>
    <t>Each Acid Gas Source Test</t>
  </si>
  <si>
    <r>
      <rPr>
        <sz val="11"/>
        <rFont val="Times New Roman"/>
        <family val="1"/>
      </rPr>
      <t>U</t>
    </r>
  </si>
  <si>
    <r>
      <rPr>
        <sz val="11"/>
        <rFont val="Times New Roman"/>
        <family val="1"/>
      </rPr>
      <t>V</t>
    </r>
  </si>
  <si>
    <t>Annual Fee for Optional Source Test Pilot Study</t>
  </si>
  <si>
    <t>PM Source Test</t>
  </si>
  <si>
    <t>X</t>
  </si>
  <si>
    <t>PM+Nox+CO Test</t>
  </si>
  <si>
    <t>Y</t>
  </si>
  <si>
    <t>PM+CO+O2 Test</t>
  </si>
  <si>
    <r>
      <rPr>
        <sz val="11"/>
        <rFont val="Times New Roman"/>
        <family val="1"/>
      </rPr>
      <t>Z</t>
    </r>
  </si>
  <si>
    <t>Miscellaneous Source Test  (Special Tests not Listed)</t>
  </si>
  <si>
    <r>
      <rPr>
        <b/>
        <sz val="12"/>
        <rFont val="Times New Roman"/>
        <family val="1"/>
      </rPr>
      <t>TABLE 3 - PROPOSED RULE 40 – SUMMARY OF REVISED SOURCE TEST WITNESS FEES</t>
    </r>
  </si>
  <si>
    <r>
      <rPr>
        <b/>
        <sz val="12"/>
        <rFont val="Times New Roman"/>
        <family val="1"/>
      </rPr>
      <t>TABLE 4 - PROPOSED RULE 40 – SUMMARY OF HOURLY LABOR RATE</t>
    </r>
  </si>
  <si>
    <t>ENG</t>
  </si>
  <si>
    <t>MTS</t>
  </si>
  <si>
    <t>STS</t>
  </si>
  <si>
    <t>CS</t>
  </si>
  <si>
    <t>Compliance Services</t>
  </si>
  <si>
    <t>PMIS</t>
  </si>
  <si>
    <t>Planning and Mobile Incentives Services</t>
  </si>
  <si>
    <t>T&amp;M Fee Categories</t>
  </si>
  <si>
    <t>New</t>
  </si>
  <si>
    <t>Mod</t>
  </si>
  <si>
    <r>
      <rPr>
        <b/>
        <sz val="10"/>
        <rFont val="Times New Roman"/>
        <family val="1"/>
      </rPr>
      <t>Schedule 1</t>
    </r>
    <r>
      <rPr>
        <sz val="10"/>
        <rFont val="Times New Roman"/>
        <family val="1"/>
      </rPr>
      <t>:  Abrasive Blasting Equipment Excluding Rooms and Booths</t>
    </r>
  </si>
  <si>
    <t>HRA low</t>
  </si>
  <si>
    <t>HRA high</t>
  </si>
  <si>
    <r>
      <rPr>
        <b/>
        <sz val="10"/>
        <rFont val="Times New Roman"/>
        <family val="1"/>
      </rPr>
      <t>Schedule 2</t>
    </r>
    <r>
      <rPr>
        <sz val="10"/>
        <rFont val="Times New Roman"/>
        <family val="1"/>
      </rPr>
      <t>:  Abrasive Blasting Cabinets, Rooms and Booths</t>
    </r>
  </si>
  <si>
    <r>
      <rPr>
        <b/>
        <sz val="10"/>
        <rFont val="Times New Roman"/>
        <family val="1"/>
      </rPr>
      <t>Schedule 3</t>
    </r>
    <r>
      <rPr>
        <sz val="10"/>
        <rFont val="Times New Roman"/>
        <family val="1"/>
      </rPr>
      <t>:  Asphalt Roofing Kettles and Tankers used to Store, Heat, Transport, and Transfer Hot Asphalt</t>
    </r>
  </si>
  <si>
    <t>No</t>
  </si>
  <si>
    <r>
      <rPr>
        <b/>
        <sz val="10"/>
        <rFont val="Times New Roman"/>
        <family val="1"/>
      </rPr>
      <t>Schedule 4</t>
    </r>
    <r>
      <rPr>
        <sz val="10"/>
        <rFont val="Times New Roman"/>
        <family val="1"/>
      </rPr>
      <t>:  Hot-Mix Asphalt Paving Batch Plant</t>
    </r>
  </si>
  <si>
    <r>
      <rPr>
        <b/>
        <sz val="10"/>
        <rFont val="Times New Roman"/>
        <family val="1"/>
      </rPr>
      <t>Schedule 5</t>
    </r>
    <r>
      <rPr>
        <sz val="10"/>
        <rFont val="Times New Roman"/>
        <family val="1"/>
      </rPr>
      <t>:  Rock Drills</t>
    </r>
  </si>
  <si>
    <r>
      <rPr>
        <b/>
        <sz val="10"/>
        <rFont val="Times New Roman"/>
        <family val="1"/>
      </rPr>
      <t>Schedule 6</t>
    </r>
    <r>
      <rPr>
        <sz val="10"/>
        <rFont val="Times New Roman"/>
        <family val="1"/>
      </rPr>
      <t>:  Sand, Rock, Aggregate Screens, and Other Screening Operations, when not used in Conjunction with other Permit Items in these Schedules</t>
    </r>
  </si>
  <si>
    <r>
      <rPr>
        <b/>
        <sz val="10"/>
        <rFont val="Times New Roman"/>
        <family val="1"/>
      </rPr>
      <t>Schedule 7</t>
    </r>
    <r>
      <rPr>
        <sz val="10"/>
        <rFont val="Times New Roman"/>
        <family val="1"/>
      </rPr>
      <t>:  Sand, Rock, and Aggregate Plants</t>
    </r>
  </si>
  <si>
    <r>
      <rPr>
        <b/>
        <sz val="10"/>
        <rFont val="Times New Roman"/>
        <family val="1"/>
      </rPr>
      <t>Schedule 8</t>
    </r>
    <r>
      <rPr>
        <sz val="10"/>
        <rFont val="Times New Roman"/>
        <family val="1"/>
      </rPr>
      <t>:  Concrete Batch Plants, Concrete Mixers over One Cubic Yard Capacity and Separate Cement Silo Systems</t>
    </r>
  </si>
  <si>
    <t>Removed</t>
  </si>
  <si>
    <r>
      <rPr>
        <b/>
        <sz val="10"/>
        <rFont val="Times New Roman"/>
        <family val="1"/>
      </rPr>
      <t>Schedule 9</t>
    </r>
    <r>
      <rPr>
        <sz val="10"/>
        <rFont val="Times New Roman"/>
        <family val="1"/>
      </rPr>
      <t>: Concrete Product Manufacturing Plants</t>
    </r>
  </si>
  <si>
    <r>
      <rPr>
        <b/>
        <sz val="10"/>
        <rFont val="Times New Roman"/>
        <family val="1"/>
      </rPr>
      <t>Schedule 13</t>
    </r>
    <r>
      <rPr>
        <sz val="10"/>
        <rFont val="Times New Roman"/>
        <family val="1"/>
      </rPr>
      <t>:  Boilers and Heaters</t>
    </r>
  </si>
  <si>
    <r>
      <rPr>
        <b/>
        <sz val="10"/>
        <rFont val="Times New Roman"/>
        <family val="1"/>
      </rPr>
      <t>Schedule 14</t>
    </r>
    <r>
      <rPr>
        <sz val="10"/>
        <rFont val="Times New Roman"/>
        <family val="1"/>
      </rPr>
      <t>:  Non-Municipal Incinerators</t>
    </r>
  </si>
  <si>
    <t>Crematory or waste incinerator burning</t>
  </si>
  <si>
    <r>
      <rPr>
        <b/>
        <sz val="10"/>
        <rFont val="Times New Roman"/>
        <family val="1"/>
      </rPr>
      <t>Schedule 15</t>
    </r>
    <r>
      <rPr>
        <sz val="10"/>
        <rFont val="Times New Roman"/>
        <family val="1"/>
      </rPr>
      <t>:  Burn-Out Ovens</t>
    </r>
  </si>
  <si>
    <r>
      <rPr>
        <b/>
        <sz val="10"/>
        <rFont val="Times New Roman"/>
        <family val="1"/>
      </rPr>
      <t>Schedule 18</t>
    </r>
    <r>
      <rPr>
        <sz val="10"/>
        <rFont val="Times New Roman"/>
        <family val="1"/>
      </rPr>
      <t>:  Metal Melting Devices</t>
    </r>
  </si>
  <si>
    <r>
      <rPr>
        <b/>
        <sz val="10"/>
        <rFont val="Times New Roman"/>
        <family val="1"/>
      </rPr>
      <t>Schedule 19</t>
    </r>
    <r>
      <rPr>
        <sz val="10"/>
        <rFont val="Times New Roman"/>
        <family val="1"/>
      </rPr>
      <t>:  Oil Quenching and Salt Baths</t>
    </r>
  </si>
  <si>
    <r>
      <rPr>
        <b/>
        <sz val="10"/>
        <rFont val="Times New Roman"/>
        <family val="1"/>
      </rPr>
      <t>Schedule 20</t>
    </r>
    <r>
      <rPr>
        <sz val="10"/>
        <rFont val="Times New Roman"/>
        <family val="1"/>
      </rPr>
      <t>:  Gas Turbine Engines, Test Cells and Test Stands</t>
    </r>
  </si>
  <si>
    <r>
      <rPr>
        <b/>
        <sz val="10"/>
        <rFont val="Times New Roman"/>
        <family val="1"/>
      </rPr>
      <t>Schedule 21</t>
    </r>
    <r>
      <rPr>
        <sz val="10"/>
        <rFont val="Times New Roman"/>
        <family val="1"/>
      </rPr>
      <t>:  Waste Disposal and Reclamation Units</t>
    </r>
  </si>
  <si>
    <t>Each Paper Shredder with a maximum throughput capacity of greater
than 600 pounds per hour, Registered Under Rule 12</t>
  </si>
  <si>
    <r>
      <rPr>
        <b/>
        <sz val="10"/>
        <rFont val="Times New Roman"/>
        <family val="1"/>
      </rPr>
      <t>Schedule 22</t>
    </r>
    <r>
      <rPr>
        <sz val="10"/>
        <rFont val="Times New Roman"/>
        <family val="1"/>
      </rPr>
      <t>:  Feed and Grain Mills and Kelp Processing Plants</t>
    </r>
  </si>
  <si>
    <r>
      <rPr>
        <b/>
        <sz val="10"/>
        <rFont val="Times New Roman"/>
        <family val="1"/>
      </rPr>
      <t>Schedule 23</t>
    </r>
    <r>
      <rPr>
        <sz val="10"/>
        <rFont val="Times New Roman"/>
        <family val="1"/>
      </rPr>
      <t>:  Bulk Terminal Grain and Dry Chemical Transfer and Storage Facility Equipment</t>
    </r>
  </si>
  <si>
    <r>
      <rPr>
        <b/>
        <sz val="10"/>
        <rFont val="Times New Roman"/>
        <family val="1"/>
      </rPr>
      <t>Schedule 24</t>
    </r>
    <r>
      <rPr>
        <sz val="10"/>
        <rFont val="Times New Roman"/>
        <family val="1"/>
      </rPr>
      <t>:  Dry Chemical Mixing</t>
    </r>
  </si>
  <si>
    <r>
      <rPr>
        <b/>
        <sz val="10"/>
        <rFont val="Times New Roman"/>
        <family val="1"/>
      </rPr>
      <t>Schedule 25</t>
    </r>
    <r>
      <rPr>
        <sz val="10"/>
        <rFont val="Times New Roman"/>
        <family val="1"/>
      </rPr>
      <t>:  Volatile Organic Compound Terminals, Bulk Plants and Intermediate Refueler Facilities.</t>
    </r>
  </si>
  <si>
    <r>
      <rPr>
        <b/>
        <sz val="10"/>
        <rFont val="Times New Roman"/>
        <family val="1"/>
      </rPr>
      <t>Schedule 26</t>
    </r>
    <r>
      <rPr>
        <sz val="10"/>
        <rFont val="Times New Roman"/>
        <family val="1"/>
      </rPr>
      <t>:  Non-Bulk Volatile Organic Compound Dispensing Facilities. Subject to District Rules 61.0 through 61.6</t>
    </r>
  </si>
  <si>
    <r>
      <rPr>
        <sz val="10"/>
        <rFont val="Times New Roman"/>
        <family val="1"/>
      </rPr>
      <t xml:space="preserve">Non-retail facilities with 260-550 gallon tanks and no other non-bulk gasoline dispensing permits
</t>
    </r>
    <r>
      <rPr>
        <sz val="10"/>
        <rFont val="Times New Roman"/>
        <family val="1"/>
      </rPr>
      <t>Fee Per Facility</t>
    </r>
  </si>
  <si>
    <r>
      <rPr>
        <b/>
        <sz val="10"/>
        <rFont val="Times New Roman"/>
        <family val="1"/>
      </rPr>
      <t>Schedule 27</t>
    </r>
    <r>
      <rPr>
        <sz val="10"/>
        <rFont val="Times New Roman"/>
        <family val="1"/>
      </rPr>
      <t>:  Application of Materials Containing Organic Solvents (includes coatings, adhesives, and other materials containing volatile organic compounds (VOC))</t>
    </r>
  </si>
  <si>
    <r>
      <rPr>
        <b/>
        <sz val="10"/>
        <rFont val="Times New Roman"/>
        <family val="1"/>
      </rPr>
      <t>Schedule 28</t>
    </r>
    <r>
      <rPr>
        <sz val="10"/>
        <rFont val="Times New Roman"/>
        <family val="1"/>
      </rPr>
      <t>:  Vapor and Cold Solvent Cleaning Operations and Metal Inspection Tanks</t>
    </r>
  </si>
  <si>
    <r>
      <rPr>
        <b/>
        <sz val="10"/>
        <rFont val="Times New Roman"/>
        <family val="1"/>
      </rPr>
      <t>Schedule 29</t>
    </r>
    <r>
      <rPr>
        <sz val="10"/>
        <rFont val="Times New Roman"/>
        <family val="1"/>
      </rPr>
      <t>:  Automated Soldering Equipment</t>
    </r>
  </si>
  <si>
    <r>
      <rPr>
        <b/>
        <sz val="10"/>
        <rFont val="Times New Roman"/>
        <family val="1"/>
      </rPr>
      <t>Schedule 30</t>
    </r>
    <r>
      <rPr>
        <sz val="10"/>
        <rFont val="Times New Roman"/>
        <family val="1"/>
      </rPr>
      <t>:  Solvent and Extract Dryers</t>
    </r>
  </si>
  <si>
    <r>
      <rPr>
        <b/>
        <sz val="10"/>
        <rFont val="Times New Roman"/>
        <family val="1"/>
      </rPr>
      <t>Schedule 31</t>
    </r>
    <r>
      <rPr>
        <sz val="10"/>
        <rFont val="Times New Roman"/>
        <family val="1"/>
      </rPr>
      <t>: Dry Cleaning Facilities</t>
    </r>
  </si>
  <si>
    <r>
      <rPr>
        <b/>
        <sz val="10"/>
        <rFont val="Times New Roman"/>
        <family val="1"/>
      </rPr>
      <t>Schedule 32</t>
    </r>
    <r>
      <rPr>
        <sz val="10"/>
        <rFont val="Times New Roman"/>
        <family val="1"/>
      </rPr>
      <t>: Acid Chemical Milling, Copper Etching and Hot Dip Galvanizing</t>
    </r>
  </si>
  <si>
    <r>
      <rPr>
        <b/>
        <sz val="10"/>
        <rFont val="Times New Roman"/>
        <family val="1"/>
      </rPr>
      <t>Schedule 33</t>
    </r>
    <r>
      <rPr>
        <sz val="10"/>
        <rFont val="Times New Roman"/>
        <family val="1"/>
      </rPr>
      <t>:  Can and Coil Manufacturing and Coating Operations</t>
    </r>
  </si>
  <si>
    <r>
      <rPr>
        <b/>
        <sz val="10"/>
        <rFont val="Times New Roman"/>
        <family val="1"/>
      </rPr>
      <t>Schedule 34</t>
    </r>
    <r>
      <rPr>
        <sz val="10"/>
        <rFont val="Times New Roman"/>
        <family val="1"/>
      </rPr>
      <t>:  Piston Type Internal Combustion Engines</t>
    </r>
  </si>
  <si>
    <r>
      <rPr>
        <b/>
        <sz val="10"/>
        <rFont val="Times New Roman"/>
        <family val="1"/>
      </rPr>
      <t>Schedule 35</t>
    </r>
    <r>
      <rPr>
        <sz val="10"/>
        <rFont val="Times New Roman"/>
        <family val="1"/>
      </rPr>
      <t>:  Bulk Flour, Powdered Sugar and Dry Chemical Storage Systems</t>
    </r>
  </si>
  <si>
    <r>
      <rPr>
        <b/>
        <sz val="10"/>
        <rFont val="Times New Roman"/>
        <family val="1"/>
      </rPr>
      <t>Schedule 36</t>
    </r>
    <r>
      <rPr>
        <sz val="10"/>
        <rFont val="Times New Roman"/>
        <family val="1"/>
      </rPr>
      <t>:  Grinding Booths and Rooms</t>
    </r>
  </si>
  <si>
    <r>
      <rPr>
        <b/>
        <sz val="10"/>
        <rFont val="Times New Roman"/>
        <family val="1"/>
      </rPr>
      <t>Schedule 37</t>
    </r>
    <r>
      <rPr>
        <sz val="10"/>
        <rFont val="Times New Roman"/>
        <family val="1"/>
      </rPr>
      <t>:  Plasma Electric and Ceramic Deposition Spray Booths</t>
    </r>
  </si>
  <si>
    <r>
      <rPr>
        <sz val="10"/>
        <rFont val="Times New Roman"/>
        <family val="1"/>
      </rPr>
      <t>Flame Spray (ID # APCD1976-SITE-00274)*</t>
    </r>
  </si>
  <si>
    <r>
      <rPr>
        <b/>
        <sz val="10"/>
        <rFont val="Times New Roman"/>
        <family val="1"/>
      </rPr>
      <t>Schedule 38</t>
    </r>
    <r>
      <rPr>
        <sz val="10"/>
        <rFont val="Times New Roman"/>
        <family val="1"/>
      </rPr>
      <t>:  Paint, Adhesive, Stain, Ink, Solder Paste, and Dielectric Paste Manufacturing</t>
    </r>
  </si>
  <si>
    <r>
      <rPr>
        <b/>
        <sz val="10"/>
        <rFont val="Times New Roman"/>
        <family val="1"/>
      </rPr>
      <t>Schedule 39</t>
    </r>
    <r>
      <rPr>
        <sz val="10"/>
        <rFont val="Times New Roman"/>
        <family val="1"/>
      </rPr>
      <t>:  Precious Metals Refining</t>
    </r>
  </si>
  <si>
    <r>
      <rPr>
        <b/>
        <sz val="10"/>
        <rFont val="Times New Roman"/>
        <family val="1"/>
      </rPr>
      <t>Schedule 40</t>
    </r>
    <r>
      <rPr>
        <sz val="10"/>
        <rFont val="Times New Roman"/>
        <family val="1"/>
      </rPr>
      <t>:  Asphalt Pavement Heaters/Recyclers</t>
    </r>
  </si>
  <si>
    <r>
      <rPr>
        <b/>
        <sz val="10"/>
        <rFont val="Times New Roman"/>
        <family val="1"/>
      </rPr>
      <t>Schedule 41</t>
    </r>
    <r>
      <rPr>
        <sz val="10"/>
        <rFont val="Times New Roman"/>
        <family val="1"/>
      </rPr>
      <t>:  Perlite Processing</t>
    </r>
  </si>
  <si>
    <r>
      <rPr>
        <b/>
        <sz val="10"/>
        <rFont val="Times New Roman"/>
        <family val="1"/>
      </rPr>
      <t>Schedule 42</t>
    </r>
    <r>
      <rPr>
        <sz val="10"/>
        <rFont val="Times New Roman"/>
        <family val="1"/>
      </rPr>
      <t>:  Electronic Component Manufacturing</t>
    </r>
  </si>
  <si>
    <r>
      <rPr>
        <b/>
        <sz val="10"/>
        <rFont val="Times New Roman"/>
        <family val="1"/>
      </rPr>
      <t>Schedule 43</t>
    </r>
    <r>
      <rPr>
        <sz val="10"/>
        <rFont val="Times New Roman"/>
        <family val="1"/>
      </rPr>
      <t>:  Ceramic Slip Casting</t>
    </r>
  </si>
  <si>
    <r>
      <rPr>
        <b/>
        <sz val="10"/>
        <rFont val="Times New Roman"/>
        <family val="1"/>
      </rPr>
      <t>Schedule 44</t>
    </r>
    <r>
      <rPr>
        <sz val="10"/>
        <rFont val="Times New Roman"/>
        <family val="1"/>
      </rPr>
      <t>:  Evaporators, Dryers, &amp; Stills Processing Organic Materials</t>
    </r>
  </si>
  <si>
    <r>
      <rPr>
        <b/>
        <sz val="10"/>
        <rFont val="Times New Roman"/>
        <family val="1"/>
      </rPr>
      <t>Schedule 46</t>
    </r>
    <r>
      <rPr>
        <sz val="10"/>
        <rFont val="Times New Roman"/>
        <family val="1"/>
      </rPr>
      <t>:  Filtration Membrane Manufacturing</t>
    </r>
  </si>
  <si>
    <r>
      <rPr>
        <b/>
        <sz val="10"/>
        <rFont val="Times New Roman"/>
        <family val="1"/>
      </rPr>
      <t>Schedule 47</t>
    </r>
    <r>
      <rPr>
        <sz val="10"/>
        <rFont val="Times New Roman"/>
        <family val="1"/>
      </rPr>
      <t>:  Organic Gas Sterilizers</t>
    </r>
  </si>
  <si>
    <r>
      <rPr>
        <b/>
        <sz val="10"/>
        <rFont val="Times New Roman"/>
        <family val="1"/>
      </rPr>
      <t>Schedule 48</t>
    </r>
    <r>
      <rPr>
        <sz val="10"/>
        <rFont val="Times New Roman"/>
        <family val="1"/>
      </rPr>
      <t>:  Municipal Waste Storage and Processing</t>
    </r>
  </si>
  <si>
    <r>
      <rPr>
        <b/>
        <sz val="10"/>
        <rFont val="Times New Roman"/>
        <family val="1"/>
      </rPr>
      <t>Schedule 49</t>
    </r>
    <r>
      <rPr>
        <sz val="10"/>
        <rFont val="Times New Roman"/>
        <family val="1"/>
      </rPr>
      <t>:  Non-Operational Status Equipment</t>
    </r>
  </si>
  <si>
    <r>
      <rPr>
        <b/>
        <sz val="10"/>
        <rFont val="Times New Roman"/>
        <family val="1"/>
      </rPr>
      <t>Schedule 50</t>
    </r>
    <r>
      <rPr>
        <sz val="10"/>
        <rFont val="Times New Roman"/>
        <family val="1"/>
      </rPr>
      <t>:  Coffee Roasters</t>
    </r>
  </si>
  <si>
    <r>
      <rPr>
        <b/>
        <sz val="10"/>
        <rFont val="Times New Roman"/>
        <family val="1"/>
      </rPr>
      <t>Schedule 51</t>
    </r>
    <r>
      <rPr>
        <sz val="10"/>
        <rFont val="Times New Roman"/>
        <family val="1"/>
      </rPr>
      <t>:  Industrial Waste Water Treatment</t>
    </r>
  </si>
  <si>
    <r>
      <rPr>
        <b/>
        <sz val="10"/>
        <rFont val="Times New Roman"/>
        <family val="1"/>
      </rPr>
      <t>Schedule 52</t>
    </r>
    <r>
      <rPr>
        <sz val="10"/>
        <rFont val="Times New Roman"/>
        <family val="1"/>
      </rPr>
      <t>:  Air Stripping &amp; Soil Remediation Equipment</t>
    </r>
  </si>
  <si>
    <r>
      <rPr>
        <b/>
        <sz val="10"/>
        <rFont val="Times New Roman"/>
        <family val="1"/>
      </rPr>
      <t>Schedule 54</t>
    </r>
    <r>
      <rPr>
        <sz val="10"/>
        <rFont val="Times New Roman"/>
        <family val="1"/>
      </rPr>
      <t>:  Pharmaceutical Manufacturing</t>
    </r>
  </si>
  <si>
    <r>
      <rPr>
        <b/>
        <sz val="10"/>
        <rFont val="Times New Roman"/>
        <family val="1"/>
      </rPr>
      <t>Schedule 55</t>
    </r>
    <r>
      <rPr>
        <sz val="10"/>
        <rFont val="Times New Roman"/>
        <family val="1"/>
      </rPr>
      <t>:  Hexavalent Chromium Plating and Anodizing Tanks</t>
    </r>
  </si>
  <si>
    <r>
      <rPr>
        <b/>
        <sz val="10"/>
        <rFont val="Times New Roman"/>
        <family val="1"/>
      </rPr>
      <t>Schedule 56</t>
    </r>
    <r>
      <rPr>
        <sz val="10"/>
        <rFont val="Times New Roman"/>
        <family val="1"/>
      </rPr>
      <t>:  Sewage Treatment Facilities</t>
    </r>
  </si>
  <si>
    <r>
      <rPr>
        <b/>
        <sz val="10"/>
        <rFont val="Times New Roman"/>
        <family val="1"/>
      </rPr>
      <t>Schedule 58</t>
    </r>
    <r>
      <rPr>
        <sz val="10"/>
        <rFont val="Times New Roman"/>
        <family val="1"/>
      </rPr>
      <t>:  Bakeries</t>
    </r>
  </si>
  <si>
    <r>
      <rPr>
        <b/>
        <sz val="10"/>
        <rFont val="Times New Roman"/>
        <family val="1"/>
      </rPr>
      <t>Schedule 59</t>
    </r>
    <r>
      <rPr>
        <sz val="10"/>
        <rFont val="Times New Roman"/>
        <family val="1"/>
      </rPr>
      <t>:  Asbestos Control Equipment</t>
    </r>
  </si>
  <si>
    <t>Each Portable Abrasive Blasting Unit, Registered Under Rule 12.1</t>
  </si>
  <si>
    <t>Each Abrasive Blasting Cabinet, Room or Booth</t>
  </si>
  <si>
    <t>Each Cabinet, Room, or Booth with an Abrasive Transfer or Recycle System</t>
  </si>
  <si>
    <t>T&amp;M Engineering Services</t>
  </si>
  <si>
    <t>Fixed Fee</t>
  </si>
  <si>
    <t>Affected Permit Number:</t>
  </si>
  <si>
    <t>Enter SITE ID No. if applicable</t>
  </si>
  <si>
    <t>Number of Units (for equipment types indicated as "each")</t>
  </si>
  <si>
    <t>Special Considerations</t>
  </si>
  <si>
    <t>Equipment Type:</t>
  </si>
  <si>
    <t>QUANTITY</t>
  </si>
  <si>
    <t>TRUST</t>
  </si>
  <si>
    <t>(APCD USE)</t>
  </si>
  <si>
    <t>EFX/ETM</t>
  </si>
  <si>
    <t>FEE CLASSIFICATION</t>
  </si>
  <si>
    <t>HRA Base Estimate (Engineering &amp; Monitoring Services)</t>
  </si>
  <si>
    <t>T&amp;M Monitoring Services</t>
  </si>
  <si>
    <t>Oustanding operating fees may be owed</t>
  </si>
  <si>
    <t>APCD Use Only</t>
  </si>
  <si>
    <t>Outstanding Fee Balance</t>
  </si>
  <si>
    <t>Request Split Payment</t>
  </si>
  <si>
    <t>SPLIT PAYMENT 1</t>
  </si>
  <si>
    <t>SPLIT PAYMENT 2</t>
  </si>
  <si>
    <t>Split Payment Fee</t>
  </si>
  <si>
    <t>Source Testing</t>
  </si>
  <si>
    <t>Ref. No.</t>
  </si>
  <si>
    <t>Each Kettle or Tanker with capacity greater than 85 gallons</t>
  </si>
  <si>
    <t>Each Hot-Mix Asphalt Batch or Drum Plant</t>
  </si>
  <si>
    <t>Each Registered Rock Drill</t>
  </si>
  <si>
    <t>Each Sand, Rock or Aggregate Screen Set, not Associated with a Crushing System</t>
  </si>
  <si>
    <t>Each Portable Sand, Rock or Aggregate Screen Set, not Associated with a Crushing System</t>
  </si>
  <si>
    <t>Each Crusher System (involves one or more primary crushers forming a primary crushing system or, one or more secondary crushers forming a secondary crusher system and each serving a single process line)</t>
  </si>
  <si>
    <t>Each Screening System (involves all screens serving a given primary or secondary crusher system)</t>
  </si>
  <si>
    <t>Each Loadout System (a loadout system is a set of conveyors chutes and hoppers used to load any single rail or road delivery container at any one time)</t>
  </si>
  <si>
    <t>Each Portable Rock Crushing System, Registered Under Rule 12.1</t>
  </si>
  <si>
    <t>Each Portable Rock Crushing System (Including Screens, Conveyors, Loadouts), Registered Under Rule 12.1</t>
  </si>
  <si>
    <t>Each Concrete Batch Plant (including Cement-Treated Base Plants)</t>
  </si>
  <si>
    <t>Each Mixer over one cubic yard capacity</t>
  </si>
  <si>
    <t>Each Concrete Mixer over one cubic yard capacity, not part of a batch plant</t>
  </si>
  <si>
    <t>Each Cement or Fly Ash Silo System not part of another system requiring a Permit</t>
  </si>
  <si>
    <t>Each Portable Concrete Batch Plant, Registered Under Rule 12.1</t>
  </si>
  <si>
    <t>Each Concrete Products Manufacturing Plant</t>
  </si>
  <si>
    <t>Each Boiler or Process Heater, 1 MMBTU/HR and up to, but not including 50 MMBTU/HR heat input</t>
  </si>
  <si>
    <t>Each Boiler or Process Heater, 50 MMBTU/HR and up to, but not including 250 MMBTU/HR heat input</t>
  </si>
  <si>
    <t>Each Boiler or Process Heater, 1 MMBTU/HR and up to, but not including 50 MMBTU/HR heat input, more than 5 units located onsite</t>
  </si>
  <si>
    <t>Each Boiler or Process Heater, 2 MMBTU/HR to less than 5 MMBTU/HR. Registered under Rule 12</t>
  </si>
  <si>
    <t>Each crematory or waste incinerator</t>
  </si>
  <si>
    <t>Each crematory or incinerator used exclusively for animals, no greater than 50 lb/hr</t>
  </si>
  <si>
    <t>Each Burnout Oven used exclusively for Electric Motor/Armature Refurbishing Oven</t>
  </si>
  <si>
    <t>USN SIMA (ID # APCD1981-SITE-02798) *</t>
  </si>
  <si>
    <t>Each Burnout Oven located at USN SIMA (ID # APCD1981-SITE-02798)</t>
  </si>
  <si>
    <t>Each Pit or Stationary Metal Melting Crucible/Pot Furnace</t>
  </si>
  <si>
    <t>Each Oil Quenching or Salt Bath Tank</t>
  </si>
  <si>
    <t>Each Aircraft Propulsion Turbine, Turboshaft, Turbojet or Turbofan Engine Test Cell or Stand</t>
  </si>
  <si>
    <t>HRA Fee not applicable because paid with another application, or application does not increase TACs?</t>
  </si>
  <si>
    <t>Enter Name of Business/Applicant</t>
  </si>
  <si>
    <t>Description</t>
  </si>
  <si>
    <t>Rule 40 Category</t>
  </si>
  <si>
    <t>Modifed Category</t>
  </si>
  <si>
    <t>FS+Modified Category</t>
  </si>
  <si>
    <t>Briefly describe the equipment/project</t>
  </si>
  <si>
    <t>Fixed</t>
  </si>
  <si>
    <t>HRA?</t>
  </si>
  <si>
    <t>New/Existing Unpermitted</t>
  </si>
  <si>
    <t>Reason for Submittal</t>
  </si>
  <si>
    <t>Modification</t>
  </si>
  <si>
    <t>Replacement</t>
  </si>
  <si>
    <t>Change of Location</t>
  </si>
  <si>
    <t>Other</t>
  </si>
  <si>
    <t>Permit Activation</t>
  </si>
  <si>
    <t>Permit Inactivation</t>
  </si>
  <si>
    <t>AQIA</t>
  </si>
  <si>
    <t>UNIT</t>
  </si>
  <si>
    <t>Base Engineering Evaluation</t>
  </si>
  <si>
    <t>Fixed Fee/T&amp;M Monitoring Services</t>
  </si>
  <si>
    <t>Split pay</t>
  </si>
  <si>
    <t>Annual Operating Fee (Rule 40(e)(2)(ii))</t>
  </si>
  <si>
    <t>Toxics New Source Review   (Health Risk Assessment)</t>
  </si>
  <si>
    <t>STF</t>
  </si>
  <si>
    <t>26A Nozzle EMF</t>
  </si>
  <si>
    <t>Additional Identical Unit, Applying Same Time</t>
  </si>
  <si>
    <t>Base Application Fees (DO NOT DELETE)</t>
  </si>
  <si>
    <t>Amendment</t>
  </si>
  <si>
    <t>Each Abrasive Blast Pot, 100 lb capactity or larger, no peripheral equipment</t>
  </si>
  <si>
    <t>Each Abrasive Blast Pot, 100 lb capactity or larger, loaded pneumatically or from hoppers</t>
  </si>
  <si>
    <t>Each Bulk Abrasive Blasting Material Storage System</t>
  </si>
  <si>
    <t>Each Spent Abrasive Handling System</t>
  </si>
  <si>
    <t>Each Abrasive Blast Cabinet, Room, or Booth with an Abrasive Transfer or Recycle System</t>
  </si>
  <si>
    <t>Each Asphalt Roofing Kettle or Tanker with capacity greater than 85 gallons</t>
  </si>
  <si>
    <t>Each Registered Asphalt Roofing Kettle or Tanker (Portable)</t>
  </si>
  <si>
    <t xml:space="preserve">Each Sand, Rock or Aggregate Crushing System </t>
  </si>
  <si>
    <t xml:space="preserve">Each Sand, Rock or Aggregate Screening System </t>
  </si>
  <si>
    <t xml:space="preserve">Each Loadout System </t>
  </si>
  <si>
    <t>Each Feed, Grain or Kelp Receiving System (includes Silos)</t>
  </si>
  <si>
    <t>Each Feed, Grain or Kelp Grinder, Cracker, or Roll Mill</t>
  </si>
  <si>
    <t>Each Feed, Grain or Kelp Shaker Stack, Screen Set, Pelletizer System, Grain Cleaner, or Hammermill</t>
  </si>
  <si>
    <t>Each Feed, Grain or Kelp Mixer System</t>
  </si>
  <si>
    <t>Each Feed, Grain or Kelp Truck or Rail Loading System</t>
  </si>
  <si>
    <t>Each Bulk Terminal Grain and Dry Chemical Receiving System (Railroad, Ship and Truck Unloading</t>
  </si>
  <si>
    <t>Each Bulk Terminal Grain and Dry Chemical Storage Silo System</t>
  </si>
  <si>
    <t>Each Bulk Terminal Grain and Dry Chemical Loadout Station System</t>
  </si>
  <si>
    <t>Each Bulk Terminal Grain and Dry Chemical Belt Transfer Station</t>
  </si>
  <si>
    <t>Each VOC Storage Tank, Located at Bulk Plants/Terminals, equipped with a vapor processor</t>
  </si>
  <si>
    <t>Each VOC Storage Tank Rim Seal Replacement at Bulk Plants/Terminals, equipped with a vapor processor</t>
  </si>
  <si>
    <t>Each Truck Loading Head,  at Bulk Plants/Terminals, equipped with a vapor processor</t>
  </si>
  <si>
    <t>Each Vapor Processor, located at Bulk Plants/Terminals</t>
  </si>
  <si>
    <t>Each VOC Storage Tank, Located at Bulk Plants/Terminals/Refuelers, no vapor processor</t>
  </si>
  <si>
    <t>Each Truck Loading Head, Located at Bulk Plants/Terminals/Refuelers, no vapor processor</t>
  </si>
  <si>
    <t>Each Intermediate Refueler Loading Connector, at facilities fueling intermediate refuelers</t>
  </si>
  <si>
    <t>Gas Stations where Phase I and Phase II controls are required (includes Phase I fee)</t>
  </si>
  <si>
    <t>Gas Stations where only Phase I controls are required (includes tank replacement), Including E85 dispensing</t>
  </si>
  <si>
    <t>Non-retail gas dispensing with 260-550 gallon tanks and no other non-bulk gasoline dispensing permits</t>
  </si>
  <si>
    <t>First Permit to Operate for Marine Coating at facilities emitting ≤ 10 tons/year of VOC from Marine Coating Ops</t>
  </si>
  <si>
    <t>First Permit to Operate for Marine Coating at facilities where combined coating/solvent use is &lt; 3 gallons/day and &lt;100 gallons/year</t>
  </si>
  <si>
    <t>Each Metal and/or Aerospace Surface Coating Application Station at facilities emitting ≤ 5 tons/year of VOC from equipment in this equipment category</t>
  </si>
  <si>
    <t>Each Surface Coating Application Station w/o control equipment and not covered by other fee schedules at facilities emitting &gt; 5 tons/year of VOC from from equipment in this equipment category</t>
  </si>
  <si>
    <t>Each Surface Coating Application Station w/o control equipment and not covered by other fee schedules at facilities using &gt; 1 gallon/day of surface coatings and emitting ≤ 5 tons/year of VOC from equipment in this equipment category</t>
  </si>
  <si>
    <t>Each Metal and/or Aerospace Coating Application Station w/o Control Equipment at facilities emitting &gt; 5 tons/year of VOC from equipment in this fee schedule</t>
  </si>
  <si>
    <t>Each autobody shop/facility applying &lt; 5 gallons/day of automotive coating subject to Rule 67.20 (as applied or sprayed)</t>
  </si>
  <si>
    <t>Each Remote Reservoir Cleaners</t>
  </si>
  <si>
    <t>Each Vapor Degreaser with an Air-Vapor Interfacial area ≤ 5 square feet</t>
  </si>
  <si>
    <t>Each Cold Solvent Degreaser with a liquid surface area ≤ 5 square feet</t>
  </si>
  <si>
    <t>Each Metal Inspection Tank</t>
  </si>
  <si>
    <t>Each Contract Service Remote Reservoir Cleaners with &gt; 100 units</t>
  </si>
  <si>
    <t>Each Contract Service Cold Degreasers with a liquid surface area of ≤ 5 square feet</t>
  </si>
  <si>
    <t>Each Kelp and Biogum Products Solvent Dryer</t>
  </si>
  <si>
    <t>Each Dry Cleaner using Petroleum Based Solvents</t>
  </si>
  <si>
    <t>Each Cogeneration Engine with no in-stack Emission Controls</t>
  </si>
  <si>
    <t>Each Internal Combustion Engine Test Cell orTest Stand</t>
  </si>
  <si>
    <t>Each Eligible Engine, Registered Under Rule 12 (stationary)</t>
  </si>
  <si>
    <t>Each Eligible Portable Engine, Registered Under Rule 12.1 (portable)</t>
  </si>
  <si>
    <t>Each  Bulk Flour, Powdered Sugar and Dry Chemical Storage Systems</t>
  </si>
  <si>
    <t>Each Grinding Booth or Room</t>
  </si>
  <si>
    <t>Each Plasma Electric and Ceramic Deposition Spray Booth/Application Station</t>
  </si>
  <si>
    <t>Each Plasma Electric and Ceramic Deposition Spray Booths at Flame Spray (ID # APCD1976-SITE-00274)*</t>
  </si>
  <si>
    <t>Each Paint, Adhesive, Stain, Ink, Solder Paste, and Dielectric Paste Can Filling Line</t>
  </si>
  <si>
    <t>Each Precious Metals Refining Process Line</t>
  </si>
  <si>
    <t>Each Portable Unheated Pavement Crushing and Recycling System, Registration Under Rule 12.1 (Portable)</t>
  </si>
  <si>
    <t>Each Perlite Process Line</t>
  </si>
  <si>
    <t>Each Perlite Process Line (Aztec Perlite) (ID # APCD1978-SITE-01598)*</t>
  </si>
  <si>
    <t>Each Electronic Component Manufacturing Process Line</t>
  </si>
  <si>
    <t>Each Electronic Component Screen Printing Operation</t>
  </si>
  <si>
    <t>Each Electronic Component Coating/Maskant Application Operation, excluding Conformal Operation</t>
  </si>
  <si>
    <t>Each Electronic Component Conformal Coating Operation</t>
  </si>
  <si>
    <t>Each Ceramic Slip Casting Process Line</t>
  </si>
  <si>
    <t>Each Evaporator and Dryer [other than those referenced in Fee Schedule 30 (a)] processing materials containing volatile organic compounds</t>
  </si>
  <si>
    <t>Each Solvent Recovery Still, on-site, batch-type, solvent usage &gt; 350 gallons per day</t>
  </si>
  <si>
    <t>Each Filtration Membrane Manufacturing Process Line</t>
  </si>
  <si>
    <t>Municipal Waste Storage and Processing (Landfill) - not subject to the ARB Methane Emissions Regulation</t>
  </si>
  <si>
    <t>Municipal Waste Storage and Processing (Landfill) - subject to the ARB Methane Emissions Regulation</t>
  </si>
  <si>
    <t>Each On-site Industrial Waste Water Treatment Processing Line</t>
  </si>
  <si>
    <t>USN Air Station NORIS Public Works Industrial Waste Water Treatment (ID # APCD1986-SITE-02755)
*</t>
  </si>
  <si>
    <t>Each Decorative Chrome Plating Tank without Add-on Emission Controls</t>
  </si>
  <si>
    <t>Each Portable Asbestos Mastic Removal Application Station</t>
  </si>
  <si>
    <t>(1) This document must be submitted with your application forms and is subject to review by District staff for accuracy.</t>
  </si>
  <si>
    <t>(7) Complete fees must be submitted for application to be accepted. Errors in estimate form and payment may lead to delays in processing</t>
  </si>
  <si>
    <t>Enter existing affected PTO No. if applicable</t>
  </si>
  <si>
    <t>SAN DIEGO COUNTY AIR POLLUTION CONTROL DISTRICT</t>
  </si>
  <si>
    <t>APPLICATION FEE ESTIMATE</t>
  </si>
  <si>
    <r>
      <t xml:space="preserve">Please complete </t>
    </r>
    <r>
      <rPr>
        <b/>
        <u/>
        <sz val="10"/>
        <color rgb="FFFF0000"/>
        <rFont val="Arial"/>
        <family val="2"/>
      </rPr>
      <t>ALL</t>
    </r>
    <r>
      <rPr>
        <b/>
        <sz val="10"/>
        <color rgb="FFFF0000"/>
        <rFont val="Arial"/>
        <family val="2"/>
      </rPr>
      <t xml:space="preserve"> highlighted fields in the upper section</t>
    </r>
  </si>
  <si>
    <t>Application is a modification/condition change which does not substantially alter equipment or emissions</t>
  </si>
  <si>
    <t>Existing Unpermitted, Rule 11 Change Only</t>
  </si>
  <si>
    <t>Each Emergency Standby Engine (for electrical or fuel interruptions beyond control of Permittee)</t>
  </si>
  <si>
    <t xml:space="preserve">(6) Fees are typically revised on annual basis. This estimate is valid only for applications received prior to any revisions, anticipated to be June 30,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</si>
</sst>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&quot;$&quot;#,##0.00"/>
    <numFmt numFmtId="167" formatCode="###0;###0"/>
  </numFmts>
  <fonts count="2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2"/>
    </font>
    <font>
      <sz val="11"/>
      <color rgb="FF000000"/>
      <name val="Times New Roman"/>
      <family val="2"/>
    </font>
    <font>
      <sz val="11"/>
      <name val="Times New Roman"/>
      <family val="1"/>
    </font>
    <font>
      <i/>
      <sz val="11"/>
      <color theme="1"/>
      <name val="Arial"/>
      <family val="2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rgb="FF000000"/>
      <name val="Times New Roman"/>
      <family val="1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DADAD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8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</cellStyleXfs>
  <cellXfs count="255">
    <xf numFmtId="0" fontId="0" fillId="0" borderId="0" xfId="0"/>
    <xf numFmtId="0" fontId="3" fillId="0" borderId="0" xfId="1" applyFont="1"/>
    <xf numFmtId="0" fontId="5" fillId="0" borderId="0" xfId="0" applyFont="1"/>
    <xf numFmtId="0" fontId="6" fillId="0" borderId="0" xfId="1" applyFont="1" applyAlignment="1">
      <alignment horizontal="center"/>
    </xf>
    <xf numFmtId="0" fontId="3" fillId="0" borderId="0" xfId="1" applyFont="1" applyAlignment="1" applyProtection="1">
      <alignment horizontal="right"/>
      <protection locked="0"/>
    </xf>
    <xf numFmtId="0" fontId="3" fillId="0" borderId="9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0" xfId="1" applyFont="1" applyAlignment="1">
      <alignment horizontal="center"/>
    </xf>
    <xf numFmtId="37" fontId="3" fillId="0" borderId="0" xfId="1" applyNumberFormat="1" applyFont="1" applyAlignment="1">
      <alignment horizontal="center"/>
    </xf>
    <xf numFmtId="0" fontId="4" fillId="0" borderId="4" xfId="1" applyFont="1" applyBorder="1"/>
    <xf numFmtId="0" fontId="3" fillId="0" borderId="4" xfId="1" applyFont="1" applyBorder="1"/>
    <xf numFmtId="37" fontId="3" fillId="0" borderId="4" xfId="1" applyNumberFormat="1" applyFont="1" applyBorder="1"/>
    <xf numFmtId="0" fontId="3" fillId="0" borderId="14" xfId="1" applyFont="1" applyBorder="1"/>
    <xf numFmtId="0" fontId="4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 applyProtection="1">
      <protection locked="0"/>
    </xf>
    <xf numFmtId="5" fontId="3" fillId="0" borderId="0" xfId="2" applyNumberFormat="1" applyFont="1" applyBorder="1" applyProtection="1">
      <protection locked="0"/>
    </xf>
    <xf numFmtId="0" fontId="7" fillId="0" borderId="0" xfId="1" applyFont="1"/>
    <xf numFmtId="0" fontId="7" fillId="0" borderId="0" xfId="1" applyFont="1" applyAlignment="1">
      <alignment horizontal="left"/>
    </xf>
    <xf numFmtId="0" fontId="7" fillId="0" borderId="0" xfId="1" applyFont="1" applyAlignment="1" applyProtection="1">
      <alignment horizontal="left"/>
      <protection locked="0"/>
    </xf>
    <xf numFmtId="0" fontId="7" fillId="0" borderId="0" xfId="1" applyFont="1" applyProtection="1">
      <protection locked="0"/>
    </xf>
    <xf numFmtId="5" fontId="7" fillId="0" borderId="0" xfId="2" applyNumberFormat="1" applyFont="1" applyBorder="1" applyProtection="1">
      <protection locked="0"/>
    </xf>
    <xf numFmtId="5" fontId="7" fillId="0" borderId="0" xfId="2" applyNumberFormat="1" applyFont="1" applyBorder="1"/>
    <xf numFmtId="37" fontId="3" fillId="0" borderId="0" xfId="1" applyNumberFormat="1" applyFont="1"/>
    <xf numFmtId="3" fontId="8" fillId="0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4" xfId="1" applyNumberFormat="1" applyFont="1" applyBorder="1" applyAlignment="1">
      <alignment horizontal="right"/>
    </xf>
    <xf numFmtId="3" fontId="8" fillId="0" borderId="0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0" xfId="2" applyNumberFormat="1" applyFont="1" applyBorder="1" applyAlignment="1" applyProtection="1">
      <alignment horizontal="right"/>
      <protection locked="0"/>
    </xf>
    <xf numFmtId="3" fontId="8" fillId="0" borderId="12" xfId="1" applyNumberFormat="1" applyFont="1" applyBorder="1" applyAlignment="1">
      <alignment horizontal="center"/>
    </xf>
    <xf numFmtId="37" fontId="3" fillId="0" borderId="0" xfId="1" applyNumberFormat="1" applyFont="1" applyAlignment="1" applyProtection="1">
      <alignment horizontal="center"/>
      <protection locked="0"/>
    </xf>
    <xf numFmtId="37" fontId="3" fillId="0" borderId="0" xfId="1" applyNumberFormat="1" applyFont="1" applyProtection="1">
      <protection locked="0"/>
    </xf>
    <xf numFmtId="5" fontId="3" fillId="0" borderId="0" xfId="2" applyNumberFormat="1" applyFont="1" applyBorder="1" applyAlignment="1">
      <alignment horizontal="center" vertical="top"/>
    </xf>
    <xf numFmtId="0" fontId="13" fillId="0" borderId="27" xfId="5" applyFont="1" applyBorder="1" applyAlignment="1">
      <alignment vertical="top" wrapText="1"/>
    </xf>
    <xf numFmtId="0" fontId="12" fillId="0" borderId="0" xfId="5" applyAlignment="1">
      <alignment horizontal="left" vertical="top"/>
    </xf>
    <xf numFmtId="0" fontId="14" fillId="0" borderId="28" xfId="5" applyFont="1" applyBorder="1" applyAlignment="1">
      <alignment wrapText="1"/>
    </xf>
    <xf numFmtId="0" fontId="14" fillId="0" borderId="29" xfId="5" applyFont="1" applyBorder="1" applyAlignment="1">
      <alignment wrapText="1"/>
    </xf>
    <xf numFmtId="0" fontId="12" fillId="0" borderId="0" xfId="5" applyAlignment="1">
      <alignment horizontal="left" vertical="top" wrapText="1"/>
    </xf>
    <xf numFmtId="0" fontId="14" fillId="0" borderId="30" xfId="5" applyFont="1" applyBorder="1" applyAlignment="1">
      <alignment wrapText="1"/>
    </xf>
    <xf numFmtId="0" fontId="14" fillId="0" borderId="31" xfId="5" applyFont="1" applyBorder="1" applyAlignment="1">
      <alignment wrapText="1"/>
    </xf>
    <xf numFmtId="0" fontId="12" fillId="3" borderId="27" xfId="5" applyFill="1" applyBorder="1" applyAlignment="1">
      <alignment vertical="top" wrapText="1"/>
    </xf>
    <xf numFmtId="0" fontId="17" fillId="0" borderId="33" xfId="5" applyFont="1" applyBorder="1" applyAlignment="1">
      <alignment horizontal="left" vertical="top" wrapText="1"/>
    </xf>
    <xf numFmtId="0" fontId="17" fillId="0" borderId="26" xfId="5" applyFont="1" applyBorder="1" applyAlignment="1">
      <alignment vertical="top" wrapText="1"/>
    </xf>
    <xf numFmtId="0" fontId="12" fillId="0" borderId="26" xfId="5" applyBorder="1" applyAlignment="1">
      <alignment vertical="top" wrapText="1"/>
    </xf>
    <xf numFmtId="0" fontId="12" fillId="3" borderId="33" xfId="5" applyFill="1" applyBorder="1" applyAlignment="1">
      <alignment vertical="top" wrapText="1"/>
    </xf>
    <xf numFmtId="0" fontId="17" fillId="0" borderId="27" xfId="5" applyFont="1" applyBorder="1" applyAlignment="1">
      <alignment vertical="top" wrapText="1"/>
    </xf>
    <xf numFmtId="0" fontId="17" fillId="0" borderId="27" xfId="5" applyFont="1" applyBorder="1" applyAlignment="1">
      <alignment horizontal="left" vertical="top" wrapText="1"/>
    </xf>
    <xf numFmtId="6" fontId="16" fillId="0" borderId="0" xfId="5" applyNumberFormat="1" applyFont="1" applyAlignment="1">
      <alignment horizontal="left" vertical="center" wrapText="1"/>
    </xf>
    <xf numFmtId="0" fontId="14" fillId="0" borderId="27" xfId="5" applyFont="1" applyBorder="1" applyAlignment="1">
      <alignment vertical="top"/>
    </xf>
    <xf numFmtId="0" fontId="14" fillId="0" borderId="33" xfId="5" applyFont="1" applyBorder="1" applyAlignment="1">
      <alignment vertical="top"/>
    </xf>
    <xf numFmtId="0" fontId="20" fillId="0" borderId="27" xfId="5" applyFont="1" applyBorder="1" applyAlignment="1">
      <alignment vertical="top" wrapText="1"/>
    </xf>
    <xf numFmtId="0" fontId="13" fillId="0" borderId="27" xfId="5" applyFont="1" applyBorder="1" applyAlignment="1">
      <alignment vertical="top"/>
    </xf>
    <xf numFmtId="0" fontId="20" fillId="0" borderId="33" xfId="5" applyFont="1" applyBorder="1" applyAlignment="1">
      <alignment vertical="top" wrapText="1"/>
    </xf>
    <xf numFmtId="0" fontId="14" fillId="0" borderId="34" xfId="5" applyFont="1" applyBorder="1" applyAlignment="1">
      <alignment wrapText="1"/>
    </xf>
    <xf numFmtId="0" fontId="14" fillId="0" borderId="35" xfId="5" applyFont="1" applyBorder="1" applyAlignment="1">
      <alignment wrapText="1"/>
    </xf>
    <xf numFmtId="0" fontId="21" fillId="0" borderId="0" xfId="0" applyFont="1"/>
    <xf numFmtId="0" fontId="13" fillId="0" borderId="26" xfId="5" applyFont="1" applyBorder="1" applyAlignment="1">
      <alignment vertical="top"/>
    </xf>
    <xf numFmtId="0" fontId="14" fillId="0" borderId="28" xfId="5" applyFont="1" applyBorder="1"/>
    <xf numFmtId="0" fontId="12" fillId="0" borderId="7" xfId="5" applyBorder="1" applyAlignment="1">
      <alignment horizontal="left" vertical="top"/>
    </xf>
    <xf numFmtId="0" fontId="12" fillId="3" borderId="26" xfId="5" applyFill="1" applyBorder="1" applyAlignment="1">
      <alignment vertical="top" wrapText="1"/>
    </xf>
    <xf numFmtId="166" fontId="12" fillId="0" borderId="7" xfId="5" applyNumberFormat="1" applyBorder="1" applyAlignment="1">
      <alignment horizontal="right" vertical="top"/>
    </xf>
    <xf numFmtId="167" fontId="18" fillId="0" borderId="26" xfId="5" applyNumberFormat="1" applyFont="1" applyBorder="1" applyAlignment="1">
      <alignment horizontal="left" vertical="top" wrapText="1"/>
    </xf>
    <xf numFmtId="166" fontId="12" fillId="0" borderId="7" xfId="4" applyNumberFormat="1" applyFont="1" applyFill="1" applyBorder="1" applyAlignment="1">
      <alignment horizontal="right" vertical="top"/>
    </xf>
    <xf numFmtId="0" fontId="14" fillId="0" borderId="26" xfId="5" applyFont="1" applyBorder="1" applyAlignment="1">
      <alignment vertical="top"/>
    </xf>
    <xf numFmtId="167" fontId="19" fillId="0" borderId="26" xfId="5" applyNumberFormat="1" applyFont="1" applyBorder="1" applyAlignment="1">
      <alignment horizontal="left" vertical="top" wrapText="1"/>
    </xf>
    <xf numFmtId="6" fontId="16" fillId="0" borderId="26" xfId="5" applyNumberFormat="1" applyFont="1" applyBorder="1" applyAlignment="1">
      <alignment horizontal="right" vertical="top" wrapText="1"/>
    </xf>
    <xf numFmtId="6" fontId="16" fillId="0" borderId="26" xfId="5" applyNumberFormat="1" applyFont="1" applyBorder="1" applyAlignment="1">
      <alignment horizontal="right" vertical="center" wrapText="1"/>
    </xf>
    <xf numFmtId="6" fontId="16" fillId="0" borderId="32" xfId="5" applyNumberFormat="1" applyFont="1" applyBorder="1" applyAlignment="1">
      <alignment horizontal="right" vertical="top" wrapText="1"/>
    </xf>
    <xf numFmtId="6" fontId="16" fillId="0" borderId="32" xfId="5" applyNumberFormat="1" applyFont="1" applyBorder="1" applyAlignment="1">
      <alignment horizontal="right" vertical="center" wrapText="1"/>
    </xf>
    <xf numFmtId="165" fontId="22" fillId="0" borderId="32" xfId="5" applyNumberFormat="1" applyFont="1" applyBorder="1" applyAlignment="1">
      <alignment horizontal="right" vertical="top" wrapText="1"/>
    </xf>
    <xf numFmtId="165" fontId="16" fillId="0" borderId="26" xfId="5" applyNumberFormat="1" applyFont="1" applyBorder="1" applyAlignment="1">
      <alignment horizontal="right" vertical="top" wrapText="1"/>
    </xf>
    <xf numFmtId="165" fontId="16" fillId="0" borderId="32" xfId="5" applyNumberFormat="1" applyFont="1" applyBorder="1" applyAlignment="1">
      <alignment horizontal="right" vertical="center" wrapText="1"/>
    </xf>
    <xf numFmtId="165" fontId="16" fillId="0" borderId="32" xfId="5" applyNumberFormat="1" applyFont="1" applyBorder="1" applyAlignment="1">
      <alignment horizontal="right" vertical="top" wrapText="1"/>
    </xf>
    <xf numFmtId="165" fontId="16" fillId="0" borderId="26" xfId="5" applyNumberFormat="1" applyFont="1" applyBorder="1" applyAlignment="1">
      <alignment vertical="top" wrapText="1"/>
    </xf>
    <xf numFmtId="165" fontId="16" fillId="0" borderId="26" xfId="4" applyNumberFormat="1" applyFont="1" applyFill="1" applyBorder="1" applyAlignment="1">
      <alignment horizontal="right" vertical="center" wrapText="1"/>
    </xf>
    <xf numFmtId="165" fontId="16" fillId="0" borderId="32" xfId="4" applyNumberFormat="1" applyFont="1" applyFill="1" applyBorder="1" applyAlignment="1">
      <alignment horizontal="right" vertical="center" wrapText="1"/>
    </xf>
    <xf numFmtId="165" fontId="23" fillId="0" borderId="7" xfId="0" applyNumberFormat="1" applyFont="1" applyBorder="1"/>
    <xf numFmtId="6" fontId="12" fillId="0" borderId="0" xfId="5" applyNumberFormat="1" applyAlignment="1">
      <alignment horizontal="left" vertical="top"/>
    </xf>
    <xf numFmtId="2" fontId="13" fillId="0" borderId="0" xfId="5" applyNumberFormat="1" applyFont="1" applyAlignment="1">
      <alignment vertical="top" wrapText="1"/>
    </xf>
    <xf numFmtId="0" fontId="14" fillId="0" borderId="27" xfId="5" applyFont="1" applyBorder="1" applyAlignment="1">
      <alignment vertical="top" wrapText="1"/>
    </xf>
    <xf numFmtId="2" fontId="14" fillId="0" borderId="0" xfId="5" applyNumberFormat="1" applyFont="1" applyAlignment="1">
      <alignment horizontal="center" vertical="top" wrapText="1"/>
    </xf>
    <xf numFmtId="0" fontId="15" fillId="0" borderId="26" xfId="5" applyFont="1" applyBorder="1" applyAlignment="1">
      <alignment vertical="top" wrapText="1"/>
    </xf>
    <xf numFmtId="0" fontId="15" fillId="0" borderId="32" xfId="5" applyFont="1" applyBorder="1" applyAlignment="1">
      <alignment horizontal="center" vertical="top" wrapText="1"/>
    </xf>
    <xf numFmtId="2" fontId="15" fillId="0" borderId="0" xfId="5" applyNumberFormat="1" applyFont="1" applyAlignment="1">
      <alignment horizontal="center" vertical="top" wrapText="1"/>
    </xf>
    <xf numFmtId="0" fontId="15" fillId="0" borderId="0" xfId="5" applyFont="1" applyAlignment="1">
      <alignment horizontal="left" vertical="top" wrapText="1"/>
    </xf>
    <xf numFmtId="0" fontId="12" fillId="3" borderId="32" xfId="5" applyFill="1" applyBorder="1" applyAlignment="1">
      <alignment horizontal="left" vertical="top" wrapText="1"/>
    </xf>
    <xf numFmtId="2" fontId="12" fillId="3" borderId="0" xfId="5" applyNumberFormat="1" applyFill="1" applyAlignment="1">
      <alignment horizontal="left" vertical="top" wrapText="1"/>
    </xf>
    <xf numFmtId="0" fontId="16" fillId="0" borderId="26" xfId="5" applyFont="1" applyBorder="1" applyAlignment="1">
      <alignment horizontal="left" vertical="center" wrapText="1"/>
    </xf>
    <xf numFmtId="2" fontId="16" fillId="0" borderId="0" xfId="5" applyNumberFormat="1" applyFont="1" applyAlignment="1">
      <alignment horizontal="right" vertical="top" wrapText="1"/>
    </xf>
    <xf numFmtId="2" fontId="16" fillId="0" borderId="0" xfId="5" applyNumberFormat="1" applyFont="1" applyAlignment="1">
      <alignment horizontal="right" vertical="center" wrapText="1"/>
    </xf>
    <xf numFmtId="0" fontId="12" fillId="5" borderId="26" xfId="5" applyFill="1" applyBorder="1" applyAlignment="1">
      <alignment vertical="top" wrapText="1"/>
    </xf>
    <xf numFmtId="0" fontId="12" fillId="5" borderId="27" xfId="5" applyFill="1" applyBorder="1" applyAlignment="1">
      <alignment vertical="top" wrapText="1"/>
    </xf>
    <xf numFmtId="0" fontId="12" fillId="5" borderId="32" xfId="5" applyFill="1" applyBorder="1" applyAlignment="1">
      <alignment horizontal="left" vertical="top" wrapText="1"/>
    </xf>
    <xf numFmtId="2" fontId="12" fillId="5" borderId="0" xfId="5" applyNumberFormat="1" applyFill="1" applyAlignment="1">
      <alignment horizontal="left" vertical="top" wrapText="1"/>
    </xf>
    <xf numFmtId="0" fontId="16" fillId="0" borderId="26" xfId="5" applyFont="1" applyBorder="1" applyAlignment="1">
      <alignment vertical="top" wrapText="1"/>
    </xf>
    <xf numFmtId="0" fontId="16" fillId="0" borderId="26" xfId="5" applyFont="1" applyBorder="1" applyAlignment="1">
      <alignment vertical="center" wrapText="1"/>
    </xf>
    <xf numFmtId="0" fontId="12" fillId="0" borderId="32" xfId="5" applyBorder="1" applyAlignment="1">
      <alignment horizontal="left" vertical="top" wrapText="1"/>
    </xf>
    <xf numFmtId="2" fontId="12" fillId="0" borderId="0" xfId="5" applyNumberFormat="1" applyAlignment="1">
      <alignment horizontal="left" vertical="top" wrapText="1"/>
    </xf>
    <xf numFmtId="2" fontId="16" fillId="0" borderId="0" xfId="5" applyNumberFormat="1" applyFont="1" applyAlignment="1">
      <alignment horizontal="left" vertical="center" wrapText="1"/>
    </xf>
    <xf numFmtId="2" fontId="16" fillId="0" borderId="0" xfId="4" applyNumberFormat="1" applyFont="1" applyFill="1" applyBorder="1" applyAlignment="1">
      <alignment horizontal="right" vertical="center" wrapText="1"/>
    </xf>
    <xf numFmtId="6" fontId="16" fillId="0" borderId="32" xfId="5" applyNumberFormat="1" applyFont="1" applyBorder="1" applyAlignment="1">
      <alignment horizontal="left" vertical="center" wrapText="1"/>
    </xf>
    <xf numFmtId="0" fontId="17" fillId="3" borderId="26" xfId="5" applyFont="1" applyFill="1" applyBorder="1" applyAlignment="1">
      <alignment vertical="top" wrapText="1"/>
    </xf>
    <xf numFmtId="0" fontId="24" fillId="0" borderId="0" xfId="0" applyFont="1"/>
    <xf numFmtId="165" fontId="23" fillId="0" borderId="0" xfId="0" applyNumberFormat="1" applyFont="1"/>
    <xf numFmtId="0" fontId="16" fillId="0" borderId="32" xfId="5" applyFont="1" applyBorder="1" applyAlignment="1">
      <alignment horizontal="left" vertical="top" wrapText="1"/>
    </xf>
    <xf numFmtId="0" fontId="12" fillId="0" borderId="27" xfId="5" applyBorder="1" applyAlignment="1">
      <alignment vertical="top" wrapText="1"/>
    </xf>
    <xf numFmtId="0" fontId="22" fillId="0" borderId="26" xfId="5" applyFont="1" applyBorder="1" applyAlignment="1">
      <alignment vertical="top" wrapText="1"/>
    </xf>
    <xf numFmtId="2" fontId="22" fillId="0" borderId="0" xfId="5" applyNumberFormat="1" applyFont="1" applyAlignment="1">
      <alignment horizontal="right" vertical="top" wrapText="1"/>
    </xf>
    <xf numFmtId="167" fontId="18" fillId="4" borderId="26" xfId="5" applyNumberFormat="1" applyFont="1" applyFill="1" applyBorder="1" applyAlignment="1">
      <alignment horizontal="left" vertical="top" wrapText="1"/>
    </xf>
    <xf numFmtId="0" fontId="17" fillId="4" borderId="33" xfId="5" applyFont="1" applyFill="1" applyBorder="1" applyAlignment="1">
      <alignment horizontal="left" vertical="top" wrapText="1"/>
    </xf>
    <xf numFmtId="0" fontId="17" fillId="4" borderId="26" xfId="5" applyFont="1" applyFill="1" applyBorder="1" applyAlignment="1">
      <alignment vertical="top" wrapText="1"/>
    </xf>
    <xf numFmtId="0" fontId="16" fillId="4" borderId="26" xfId="5" applyFont="1" applyFill="1" applyBorder="1" applyAlignment="1">
      <alignment vertical="center" wrapText="1"/>
    </xf>
    <xf numFmtId="6" fontId="16" fillId="4" borderId="32" xfId="5" applyNumberFormat="1" applyFont="1" applyFill="1" applyBorder="1" applyAlignment="1">
      <alignment horizontal="right" vertical="center" wrapText="1"/>
    </xf>
    <xf numFmtId="2" fontId="16" fillId="4" borderId="0" xfId="5" applyNumberFormat="1" applyFont="1" applyFill="1" applyAlignment="1">
      <alignment horizontal="right" vertical="center" wrapText="1"/>
    </xf>
    <xf numFmtId="0" fontId="12" fillId="4" borderId="26" xfId="5" applyFill="1" applyBorder="1" applyAlignment="1">
      <alignment vertical="top" wrapText="1"/>
    </xf>
    <xf numFmtId="165" fontId="16" fillId="0" borderId="32" xfId="4" applyNumberFormat="1" applyFont="1" applyBorder="1" applyAlignment="1">
      <alignment horizontal="right" vertical="top" wrapText="1"/>
    </xf>
    <xf numFmtId="2" fontId="16" fillId="0" borderId="0" xfId="4" applyNumberFormat="1" applyFont="1" applyBorder="1" applyAlignment="1">
      <alignment horizontal="right" vertical="top" wrapText="1"/>
    </xf>
    <xf numFmtId="0" fontId="17" fillId="0" borderId="32" xfId="5" applyFont="1" applyBorder="1" applyAlignment="1">
      <alignment horizontal="center" vertical="top" wrapText="1"/>
    </xf>
    <xf numFmtId="6" fontId="16" fillId="0" borderId="27" xfId="5" applyNumberFormat="1" applyFont="1" applyBorder="1" applyAlignment="1">
      <alignment horizontal="left" vertical="center" wrapText="1"/>
    </xf>
    <xf numFmtId="2" fontId="12" fillId="0" borderId="0" xfId="5" applyNumberFormat="1" applyAlignment="1">
      <alignment horizontal="left" vertical="top"/>
    </xf>
    <xf numFmtId="6" fontId="12" fillId="0" borderId="0" xfId="5" applyNumberFormat="1" applyAlignment="1">
      <alignment horizontal="right" vertical="top"/>
    </xf>
    <xf numFmtId="165" fontId="12" fillId="0" borderId="0" xfId="5" applyNumberFormat="1" applyAlignment="1">
      <alignment horizontal="right" vertical="top"/>
    </xf>
    <xf numFmtId="6" fontId="20" fillId="0" borderId="27" xfId="5" applyNumberFormat="1" applyFont="1" applyBorder="1" applyAlignment="1">
      <alignment horizontal="right" vertical="top" wrapText="1"/>
    </xf>
    <xf numFmtId="0" fontId="24" fillId="0" borderId="7" xfId="0" applyFont="1" applyBorder="1"/>
    <xf numFmtId="0" fontId="17" fillId="0" borderId="0" xfId="5" applyFont="1" applyAlignment="1">
      <alignment horizontal="left" vertical="top" wrapText="1"/>
    </xf>
    <xf numFmtId="0" fontId="17" fillId="4" borderId="27" xfId="5" applyFont="1" applyFill="1" applyBorder="1" applyAlignment="1">
      <alignment horizontal="left" vertical="top" wrapText="1"/>
    </xf>
    <xf numFmtId="0" fontId="20" fillId="0" borderId="0" xfId="5" applyFont="1" applyAlignment="1">
      <alignment vertical="top" wrapText="1"/>
    </xf>
    <xf numFmtId="0" fontId="9" fillId="0" borderId="0" xfId="1" applyFont="1" applyAlignment="1">
      <alignment horizontal="center"/>
    </xf>
    <xf numFmtId="3" fontId="8" fillId="0" borderId="0" xfId="1" applyNumberFormat="1" applyFont="1" applyAlignment="1">
      <alignment horizontal="left"/>
    </xf>
    <xf numFmtId="0" fontId="10" fillId="0" borderId="0" xfId="3" applyBorder="1" applyAlignment="1" applyProtection="1">
      <alignment horizontal="left"/>
      <protection locked="0"/>
    </xf>
    <xf numFmtId="0" fontId="3" fillId="0" borderId="14" xfId="1" applyFont="1" applyBorder="1" applyAlignment="1">
      <alignment horizontal="center"/>
    </xf>
    <xf numFmtId="0" fontId="9" fillId="0" borderId="0" xfId="1" applyFont="1" applyProtection="1">
      <protection locked="0"/>
    </xf>
    <xf numFmtId="0" fontId="9" fillId="0" borderId="0" xfId="1" applyFont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37" fontId="3" fillId="0" borderId="10" xfId="1" applyNumberFormat="1" applyFont="1" applyBorder="1" applyAlignment="1">
      <alignment horizontal="center"/>
    </xf>
    <xf numFmtId="37" fontId="3" fillId="0" borderId="43" xfId="1" applyNumberFormat="1" applyFont="1" applyBorder="1" applyAlignment="1">
      <alignment horizontal="center"/>
    </xf>
    <xf numFmtId="2" fontId="12" fillId="0" borderId="0" xfId="5" applyNumberFormat="1" applyAlignment="1">
      <alignment horizontal="right" vertical="top" wrapText="1"/>
    </xf>
    <xf numFmtId="0" fontId="9" fillId="0" borderId="0" xfId="1" applyFont="1"/>
    <xf numFmtId="3" fontId="8" fillId="0" borderId="10" xfId="1" applyNumberFormat="1" applyFont="1" applyBorder="1" applyAlignment="1">
      <alignment horizontal="center"/>
    </xf>
    <xf numFmtId="166" fontId="8" fillId="2" borderId="20" xfId="2" applyNumberFormat="1" applyFont="1" applyFill="1" applyBorder="1" applyAlignment="1" applyProtection="1">
      <alignment horizontal="right"/>
    </xf>
    <xf numFmtId="166" fontId="8" fillId="2" borderId="17" xfId="2" applyNumberFormat="1" applyFont="1" applyFill="1" applyBorder="1" applyAlignment="1" applyProtection="1">
      <alignment horizontal="right"/>
    </xf>
    <xf numFmtId="166" fontId="8" fillId="2" borderId="18" xfId="2" applyNumberFormat="1" applyFont="1" applyFill="1" applyBorder="1" applyAlignment="1" applyProtection="1">
      <alignment horizontal="right"/>
    </xf>
    <xf numFmtId="166" fontId="12" fillId="0" borderId="7" xfId="4" applyNumberFormat="1" applyFont="1" applyBorder="1" applyAlignment="1">
      <alignment horizontal="right" vertical="top"/>
    </xf>
    <xf numFmtId="0" fontId="3" fillId="0" borderId="5" xfId="1" applyFont="1" applyBorder="1" applyAlignment="1">
      <alignment horizontal="center"/>
    </xf>
    <xf numFmtId="37" fontId="3" fillId="0" borderId="5" xfId="1" applyNumberFormat="1" applyFont="1" applyBorder="1" applyProtection="1">
      <protection locked="0"/>
    </xf>
    <xf numFmtId="0" fontId="24" fillId="0" borderId="0" xfId="0" applyFont="1" applyAlignment="1">
      <alignment wrapText="1"/>
    </xf>
    <xf numFmtId="7" fontId="3" fillId="0" borderId="45" xfId="2" applyNumberFormat="1" applyFont="1" applyBorder="1" applyAlignment="1" applyProtection="1">
      <alignment horizontal="center" vertical="top"/>
    </xf>
    <xf numFmtId="7" fontId="3" fillId="0" borderId="7" xfId="2" applyNumberFormat="1" applyFont="1" applyBorder="1" applyAlignment="1" applyProtection="1">
      <alignment horizontal="center" vertical="top"/>
    </xf>
    <xf numFmtId="164" fontId="3" fillId="0" borderId="17" xfId="1" applyNumberFormat="1" applyFont="1" applyBorder="1" applyAlignment="1">
      <alignment horizontal="center"/>
    </xf>
    <xf numFmtId="166" fontId="8" fillId="0" borderId="17" xfId="2" applyNumberFormat="1" applyFont="1" applyBorder="1" applyAlignment="1" applyProtection="1">
      <alignment horizontal="right"/>
    </xf>
    <xf numFmtId="7" fontId="3" fillId="0" borderId="46" xfId="2" applyNumberFormat="1" applyFont="1" applyBorder="1" applyProtection="1"/>
    <xf numFmtId="5" fontId="3" fillId="0" borderId="7" xfId="2" applyNumberFormat="1" applyFont="1" applyBorder="1" applyProtection="1"/>
    <xf numFmtId="164" fontId="3" fillId="0" borderId="18" xfId="1" applyNumberFormat="1" applyFont="1" applyBorder="1" applyAlignment="1">
      <alignment horizontal="center"/>
    </xf>
    <xf numFmtId="166" fontId="8" fillId="0" borderId="18" xfId="2" applyNumberFormat="1" applyFont="1" applyBorder="1" applyAlignment="1" applyProtection="1">
      <alignment horizontal="right"/>
    </xf>
    <xf numFmtId="7" fontId="3" fillId="0" borderId="49" xfId="2" applyNumberFormat="1" applyFont="1" applyBorder="1" applyProtection="1"/>
    <xf numFmtId="0" fontId="3" fillId="0" borderId="0" xfId="1" applyFont="1" applyAlignment="1">
      <alignment horizontal="left"/>
    </xf>
    <xf numFmtId="164" fontId="3" fillId="0" borderId="0" xfId="1" applyNumberFormat="1" applyFont="1" applyAlignment="1">
      <alignment horizontal="center"/>
    </xf>
    <xf numFmtId="165" fontId="8" fillId="0" borderId="0" xfId="2" applyNumberFormat="1" applyFont="1" applyBorder="1" applyAlignment="1" applyProtection="1">
      <alignment horizontal="right"/>
    </xf>
    <xf numFmtId="5" fontId="3" fillId="0" borderId="0" xfId="2" applyNumberFormat="1" applyFont="1" applyBorder="1" applyProtection="1"/>
    <xf numFmtId="165" fontId="8" fillId="0" borderId="0" xfId="2" applyNumberFormat="1" applyFont="1" applyAlignment="1" applyProtection="1">
      <alignment horizontal="right"/>
    </xf>
    <xf numFmtId="5" fontId="3" fillId="0" borderId="0" xfId="2" applyNumberFormat="1" applyFont="1" applyProtection="1"/>
    <xf numFmtId="166" fontId="3" fillId="0" borderId="46" xfId="2" applyNumberFormat="1" applyFont="1" applyBorder="1" applyProtection="1"/>
    <xf numFmtId="166" fontId="3" fillId="0" borderId="49" xfId="2" applyNumberFormat="1" applyFont="1" applyBorder="1" applyProtection="1"/>
    <xf numFmtId="5" fontId="3" fillId="0" borderId="5" xfId="2" applyNumberFormat="1" applyFont="1" applyBorder="1" applyProtection="1"/>
    <xf numFmtId="164" fontId="3" fillId="0" borderId="20" xfId="1" applyNumberFormat="1" applyFont="1" applyBorder="1" applyAlignment="1">
      <alignment horizontal="center"/>
    </xf>
    <xf numFmtId="7" fontId="3" fillId="0" borderId="25" xfId="2" applyNumberFormat="1" applyFont="1" applyBorder="1" applyProtection="1"/>
    <xf numFmtId="166" fontId="8" fillId="0" borderId="0" xfId="2" applyNumberFormat="1" applyFont="1" applyBorder="1" applyAlignment="1" applyProtection="1">
      <alignment horizontal="right"/>
    </xf>
    <xf numFmtId="7" fontId="3" fillId="0" borderId="0" xfId="2" applyNumberFormat="1" applyFont="1" applyBorder="1" applyProtection="1"/>
    <xf numFmtId="3" fontId="8" fillId="0" borderId="0" xfId="2" applyNumberFormat="1" applyFont="1" applyAlignment="1" applyProtection="1">
      <alignment horizontal="right"/>
    </xf>
    <xf numFmtId="165" fontId="3" fillId="0" borderId="17" xfId="1" applyNumberFormat="1" applyFont="1" applyBorder="1"/>
    <xf numFmtId="7" fontId="3" fillId="0" borderId="46" xfId="1" applyNumberFormat="1" applyFont="1" applyBorder="1"/>
    <xf numFmtId="5" fontId="3" fillId="0" borderId="7" xfId="1" applyNumberFormat="1" applyFont="1" applyBorder="1"/>
    <xf numFmtId="164" fontId="3" fillId="0" borderId="47" xfId="1" applyNumberFormat="1" applyFont="1" applyBorder="1" applyAlignment="1">
      <alignment horizontal="center"/>
    </xf>
    <xf numFmtId="165" fontId="3" fillId="0" borderId="47" xfId="1" applyNumberFormat="1" applyFont="1" applyBorder="1" applyAlignment="1">
      <alignment horizontal="right"/>
    </xf>
    <xf numFmtId="7" fontId="3" fillId="0" borderId="48" xfId="2" applyNumberFormat="1" applyFont="1" applyBorder="1" applyProtection="1"/>
    <xf numFmtId="165" fontId="8" fillId="0" borderId="47" xfId="2" applyNumberFormat="1" applyFont="1" applyBorder="1" applyAlignment="1" applyProtection="1">
      <alignment horizontal="right"/>
    </xf>
    <xf numFmtId="7" fontId="3" fillId="0" borderId="48" xfId="1" applyNumberFormat="1" applyFont="1" applyBorder="1"/>
    <xf numFmtId="165" fontId="8" fillId="0" borderId="18" xfId="2" applyNumberFormat="1" applyFont="1" applyBorder="1" applyAlignment="1" applyProtection="1">
      <alignment horizontal="right"/>
    </xf>
    <xf numFmtId="7" fontId="3" fillId="0" borderId="49" xfId="1" applyNumberFormat="1" applyFont="1" applyBorder="1"/>
    <xf numFmtId="0" fontId="3" fillId="6" borderId="7" xfId="1" applyFont="1" applyFill="1" applyBorder="1" applyAlignment="1" applyProtection="1">
      <alignment horizontal="center"/>
      <protection locked="0"/>
    </xf>
    <xf numFmtId="0" fontId="5" fillId="7" borderId="4" xfId="0" applyFont="1" applyFill="1" applyBorder="1"/>
    <xf numFmtId="0" fontId="4" fillId="7" borderId="4" xfId="1" applyFont="1" applyFill="1" applyBorder="1"/>
    <xf numFmtId="0" fontId="8" fillId="7" borderId="4" xfId="0" applyFont="1" applyFill="1" applyBorder="1"/>
    <xf numFmtId="0" fontId="3" fillId="7" borderId="4" xfId="1" applyFont="1" applyFill="1" applyBorder="1" applyAlignment="1">
      <alignment horizontal="center"/>
    </xf>
    <xf numFmtId="0" fontId="3" fillId="7" borderId="4" xfId="1" applyFont="1" applyFill="1" applyBorder="1"/>
    <xf numFmtId="0" fontId="8" fillId="7" borderId="4" xfId="0" applyFont="1" applyFill="1" applyBorder="1" applyAlignment="1">
      <alignment horizontal="right"/>
    </xf>
    <xf numFmtId="0" fontId="3" fillId="7" borderId="14" xfId="1" applyFont="1" applyFill="1" applyBorder="1"/>
    <xf numFmtId="3" fontId="8" fillId="7" borderId="14" xfId="1" applyNumberFormat="1" applyFont="1" applyFill="1" applyBorder="1" applyAlignment="1">
      <alignment horizontal="right"/>
    </xf>
    <xf numFmtId="0" fontId="3" fillId="7" borderId="13" xfId="1" applyFont="1" applyFill="1" applyBorder="1"/>
    <xf numFmtId="0" fontId="3" fillId="7" borderId="6" xfId="1" applyFont="1" applyFill="1" applyBorder="1"/>
    <xf numFmtId="0" fontId="5" fillId="7" borderId="52" xfId="0" applyFont="1" applyFill="1" applyBorder="1"/>
    <xf numFmtId="0" fontId="4" fillId="7" borderId="0" xfId="1" applyFont="1" applyFill="1"/>
    <xf numFmtId="0" fontId="5" fillId="7" borderId="0" xfId="0" applyFont="1" applyFill="1"/>
    <xf numFmtId="0" fontId="8" fillId="7" borderId="0" xfId="0" applyFont="1" applyFill="1"/>
    <xf numFmtId="0" fontId="3" fillId="7" borderId="0" xfId="1" applyFont="1" applyFill="1"/>
    <xf numFmtId="0" fontId="8" fillId="7" borderId="0" xfId="0" applyFont="1" applyFill="1" applyAlignment="1">
      <alignment horizontal="right"/>
    </xf>
    <xf numFmtId="0" fontId="3" fillId="7" borderId="51" xfId="1" applyFont="1" applyFill="1" applyBorder="1"/>
    <xf numFmtId="0" fontId="3" fillId="7" borderId="15" xfId="1" applyFont="1" applyFill="1" applyBorder="1"/>
    <xf numFmtId="0" fontId="5" fillId="7" borderId="3" xfId="0" applyFont="1" applyFill="1" applyBorder="1"/>
    <xf numFmtId="37" fontId="3" fillId="8" borderId="7" xfId="1" applyNumberFormat="1" applyFont="1" applyFill="1" applyBorder="1" applyAlignment="1" applyProtection="1">
      <alignment horizontal="center"/>
      <protection locked="0"/>
    </xf>
    <xf numFmtId="14" fontId="3" fillId="8" borderId="7" xfId="1" applyNumberFormat="1" applyFont="1" applyFill="1" applyBorder="1" applyAlignment="1" applyProtection="1">
      <alignment horizontal="center"/>
      <protection locked="0"/>
    </xf>
    <xf numFmtId="0" fontId="3" fillId="8" borderId="7" xfId="1" applyFont="1" applyFill="1" applyBorder="1" applyAlignment="1" applyProtection="1">
      <alignment horizontal="center"/>
      <protection locked="0"/>
    </xf>
    <xf numFmtId="0" fontId="3" fillId="0" borderId="21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36" xfId="1" applyFont="1" applyBorder="1" applyAlignment="1">
      <alignment horizontal="left"/>
    </xf>
    <xf numFmtId="5" fontId="3" fillId="0" borderId="46" xfId="2" applyNumberFormat="1" applyFont="1" applyBorder="1" applyAlignment="1" applyProtection="1">
      <alignment horizontal="right"/>
    </xf>
    <xf numFmtId="5" fontId="3" fillId="0" borderId="49" xfId="2" applyNumberFormat="1" applyFont="1" applyBorder="1" applyAlignment="1" applyProtection="1">
      <alignment horizontal="right"/>
    </xf>
    <xf numFmtId="164" fontId="3" fillId="0" borderId="17" xfId="1" applyNumberFormat="1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  <xf numFmtId="166" fontId="8" fillId="0" borderId="17" xfId="2" applyNumberFormat="1" applyFont="1" applyBorder="1" applyAlignment="1" applyProtection="1">
      <alignment horizontal="center"/>
    </xf>
    <xf numFmtId="166" fontId="8" fillId="0" borderId="18" xfId="2" applyNumberFormat="1" applyFont="1" applyBorder="1" applyAlignment="1" applyProtection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3" fillId="0" borderId="13" xfId="1" applyFont="1" applyBorder="1" applyAlignment="1">
      <alignment horizontal="left" vertical="top"/>
    </xf>
    <xf numFmtId="0" fontId="3" fillId="0" borderId="14" xfId="1" applyFont="1" applyBorder="1" applyAlignment="1">
      <alignment horizontal="left" vertical="top"/>
    </xf>
    <xf numFmtId="0" fontId="3" fillId="0" borderId="6" xfId="1" applyFont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0" fontId="3" fillId="0" borderId="4" xfId="1" applyFont="1" applyBorder="1" applyAlignment="1">
      <alignment horizontal="left" vertical="top"/>
    </xf>
    <xf numFmtId="0" fontId="3" fillId="0" borderId="15" xfId="1" applyFont="1" applyBorder="1" applyAlignment="1">
      <alignment horizontal="left" vertical="top"/>
    </xf>
    <xf numFmtId="37" fontId="3" fillId="8" borderId="7" xfId="1" applyNumberFormat="1" applyFont="1" applyFill="1" applyBorder="1" applyAlignment="1" applyProtection="1">
      <alignment horizontal="center"/>
      <protection locked="0"/>
    </xf>
    <xf numFmtId="37" fontId="3" fillId="8" borderId="7" xfId="1" applyNumberFormat="1" applyFont="1" applyFill="1" applyBorder="1" applyAlignment="1" applyProtection="1">
      <alignment horizontal="left" vertical="top" wrapText="1"/>
      <protection locked="0"/>
    </xf>
    <xf numFmtId="0" fontId="9" fillId="8" borderId="7" xfId="1" applyFont="1" applyFill="1" applyBorder="1" applyAlignment="1" applyProtection="1">
      <alignment horizontal="center"/>
      <protection locked="0"/>
    </xf>
    <xf numFmtId="0" fontId="9" fillId="8" borderId="7" xfId="1" applyFont="1" applyFill="1" applyBorder="1" applyAlignment="1" applyProtection="1">
      <alignment horizontal="left" vertical="top"/>
      <protection locked="0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39" xfId="1" applyFont="1" applyBorder="1" applyAlignment="1">
      <alignment horizontal="center"/>
    </xf>
    <xf numFmtId="0" fontId="3" fillId="0" borderId="40" xfId="1" applyFont="1" applyBorder="1" applyAlignment="1">
      <alignment horizontal="center"/>
    </xf>
    <xf numFmtId="0" fontId="3" fillId="0" borderId="23" xfId="1" applyFont="1" applyBorder="1" applyAlignment="1">
      <alignment horizontal="left"/>
    </xf>
    <xf numFmtId="0" fontId="3" fillId="0" borderId="37" xfId="1" applyFont="1" applyBorder="1" applyAlignment="1">
      <alignment horizontal="left"/>
    </xf>
    <xf numFmtId="0" fontId="3" fillId="0" borderId="41" xfId="1" applyFont="1" applyBorder="1" applyAlignment="1">
      <alignment horizontal="left"/>
    </xf>
    <xf numFmtId="0" fontId="3" fillId="0" borderId="24" xfId="1" applyFont="1" applyBorder="1" applyAlignment="1">
      <alignment horizontal="left"/>
    </xf>
    <xf numFmtId="0" fontId="3" fillId="0" borderId="22" xfId="1" applyFont="1" applyBorder="1" applyAlignment="1">
      <alignment horizontal="left"/>
    </xf>
    <xf numFmtId="0" fontId="3" fillId="0" borderId="38" xfId="1" applyFont="1" applyBorder="1" applyAlignment="1">
      <alignment horizontal="left"/>
    </xf>
    <xf numFmtId="5" fontId="3" fillId="0" borderId="2" xfId="2" applyNumberFormat="1" applyFont="1" applyBorder="1" applyAlignment="1" applyProtection="1">
      <alignment horizontal="left"/>
    </xf>
    <xf numFmtId="5" fontId="3" fillId="0" borderId="1" xfId="2" applyNumberFormat="1" applyFont="1" applyBorder="1" applyAlignment="1" applyProtection="1">
      <alignment horizontal="left"/>
    </xf>
    <xf numFmtId="0" fontId="3" fillId="0" borderId="16" xfId="1" applyFont="1" applyBorder="1" applyAlignment="1">
      <alignment horizontal="left"/>
    </xf>
    <xf numFmtId="0" fontId="3" fillId="0" borderId="19" xfId="1" applyFont="1" applyBorder="1" applyAlignment="1">
      <alignment horizontal="left"/>
    </xf>
    <xf numFmtId="0" fontId="3" fillId="0" borderId="50" xfId="1" applyFont="1" applyBorder="1" applyAlignment="1">
      <alignment horizontal="left"/>
    </xf>
    <xf numFmtId="0" fontId="3" fillId="0" borderId="13" xfId="1" applyFont="1" applyBorder="1" applyAlignment="1">
      <alignment horizontal="left" wrapText="1"/>
    </xf>
    <xf numFmtId="0" fontId="3" fillId="0" borderId="14" xfId="1" applyFont="1" applyBorder="1" applyAlignment="1">
      <alignment horizontal="left" wrapText="1"/>
    </xf>
    <xf numFmtId="0" fontId="3" fillId="0" borderId="6" xfId="1" applyFont="1" applyBorder="1" applyAlignment="1">
      <alignment horizontal="left" wrapText="1"/>
    </xf>
    <xf numFmtId="0" fontId="3" fillId="0" borderId="3" xfId="1" applyFont="1" applyBorder="1" applyAlignment="1">
      <alignment horizontal="left" wrapText="1"/>
    </xf>
    <xf numFmtId="0" fontId="3" fillId="0" borderId="4" xfId="1" applyFont="1" applyBorder="1" applyAlignment="1">
      <alignment horizontal="left" wrapText="1"/>
    </xf>
    <xf numFmtId="0" fontId="3" fillId="0" borderId="15" xfId="1" applyFont="1" applyBorder="1" applyAlignment="1">
      <alignment horizontal="left" wrapText="1"/>
    </xf>
    <xf numFmtId="0" fontId="3" fillId="0" borderId="42" xfId="1" applyFont="1" applyBorder="1" applyAlignment="1">
      <alignment horizontal="left" wrapText="1"/>
    </xf>
    <xf numFmtId="0" fontId="3" fillId="0" borderId="44" xfId="1" applyFont="1" applyBorder="1" applyAlignment="1">
      <alignment horizontal="left" wrapText="1"/>
    </xf>
    <xf numFmtId="2" fontId="14" fillId="0" borderId="0" xfId="5" applyNumberFormat="1" applyFont="1" applyAlignment="1">
      <alignment horizontal="center" vertical="top" wrapText="1"/>
    </xf>
    <xf numFmtId="2" fontId="15" fillId="0" borderId="0" xfId="5" applyNumberFormat="1" applyFont="1" applyAlignment="1">
      <alignment horizontal="center" vertical="top" wrapText="1"/>
    </xf>
    <xf numFmtId="0" fontId="25" fillId="0" borderId="50" xfId="5" applyFont="1" applyBorder="1" applyAlignment="1">
      <alignment horizontal="center" vertical="top" wrapText="1"/>
    </xf>
    <xf numFmtId="0" fontId="25" fillId="0" borderId="19" xfId="5" applyFont="1" applyBorder="1" applyAlignment="1">
      <alignment horizontal="center" vertical="top" wrapText="1"/>
    </xf>
  </cellXfs>
  <cellStyles count="6">
    <cellStyle name="Currency" xfId="4" builtinId="4"/>
    <cellStyle name="Currency 2" xfId="2" xr:uid="{00000000-0005-0000-0000-000001000000}"/>
    <cellStyle name="Hyperlink" xfId="3" builtinId="8"/>
    <cellStyle name="Normal" xfId="0" builtinId="0"/>
    <cellStyle name="Normal 2" xfId="1" xr:uid="{00000000-0005-0000-0000-000004000000}"/>
    <cellStyle name="Normal 3" xfId="5" xr:uid="{00000000-0005-0000-0000-000005000000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72CFD-1EED-49C4-B00F-05ECE70E117D}">
  <sheetPr>
    <pageSetUpPr fitToPage="1"/>
  </sheetPr>
  <dimension ref="A1:J64"/>
  <sheetViews>
    <sheetView tabSelected="1" zoomScale="115" zoomScaleNormal="115" workbookViewId="0">
      <selection activeCell="C56" sqref="C56"/>
    </sheetView>
  </sheetViews>
  <sheetFormatPr defaultColWidth="9.28515625" defaultRowHeight="14.25" x14ac:dyDescent="0.2"/>
  <cols>
    <col min="1" max="1" width="9.28515625" style="2"/>
    <col min="2" max="2" width="11.7109375" style="2" customWidth="1"/>
    <col min="3" max="3" width="8.28515625" style="2" customWidth="1"/>
    <col min="4" max="4" width="13" style="2" customWidth="1"/>
    <col min="5" max="5" width="15.28515625" style="2" customWidth="1"/>
    <col min="6" max="6" width="13.85546875" style="2" customWidth="1"/>
    <col min="7" max="7" width="10.28515625" style="2" customWidth="1"/>
    <col min="8" max="8" width="10.28515625" style="26" customWidth="1"/>
    <col min="9" max="9" width="14.42578125" style="2" customWidth="1"/>
    <col min="10" max="10" width="12.42578125" style="2" customWidth="1"/>
    <col min="11" max="13" width="9.28515625" style="2"/>
    <col min="14" max="14" width="17" style="2" customWidth="1"/>
    <col min="15" max="16384" width="9.28515625" style="2"/>
  </cols>
  <sheetData>
    <row r="1" spans="1:10" ht="15" customHeight="1" x14ac:dyDescent="0.2">
      <c r="A1" s="213" t="s">
        <v>468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ht="18" x14ac:dyDescent="0.25">
      <c r="A2" s="214" t="s">
        <v>469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 ht="15.75" customHeight="1" x14ac:dyDescent="0.2">
      <c r="A3" s="215" t="s">
        <v>470</v>
      </c>
      <c r="B3" s="215"/>
      <c r="C3" s="215"/>
      <c r="D3" s="215"/>
      <c r="E3" s="215"/>
      <c r="F3" s="215"/>
      <c r="G3" s="215"/>
      <c r="H3" s="215"/>
      <c r="I3" s="215"/>
      <c r="J3" s="215"/>
    </row>
    <row r="4" spans="1:10" ht="4.5" customHeight="1" x14ac:dyDescent="0.25">
      <c r="A4" s="1"/>
      <c r="B4" s="1"/>
      <c r="C4" s="1"/>
      <c r="D4" s="3"/>
      <c r="E4" s="3"/>
      <c r="F4" s="3"/>
      <c r="G4" s="1"/>
      <c r="H4" s="25"/>
      <c r="I4" s="1"/>
      <c r="J4" s="1"/>
    </row>
    <row r="5" spans="1:10" ht="15" customHeight="1" x14ac:dyDescent="0.2">
      <c r="A5" s="1" t="s">
        <v>0</v>
      </c>
      <c r="B5" s="1"/>
      <c r="C5" s="224" t="s">
        <v>317</v>
      </c>
      <c r="D5" s="224"/>
      <c r="E5" s="224"/>
      <c r="F5" s="139"/>
      <c r="G5" s="25" t="s">
        <v>2</v>
      </c>
      <c r="H5" s="222" t="s">
        <v>374</v>
      </c>
      <c r="I5" s="222"/>
      <c r="J5" s="222"/>
    </row>
    <row r="6" spans="1:10" ht="6" customHeight="1" x14ac:dyDescent="0.2">
      <c r="A6" s="1"/>
      <c r="B6" s="1"/>
      <c r="C6" s="1"/>
      <c r="D6" s="129"/>
      <c r="E6" s="129"/>
      <c r="F6" s="129"/>
      <c r="G6" s="129"/>
      <c r="H6" s="129"/>
      <c r="I6" s="129"/>
      <c r="J6" s="1"/>
    </row>
    <row r="7" spans="1:10" ht="28.5" customHeight="1" x14ac:dyDescent="0.2">
      <c r="A7" s="130" t="s">
        <v>320</v>
      </c>
      <c r="C7" s="223"/>
      <c r="D7" s="223"/>
      <c r="E7" s="223"/>
      <c r="F7" s="223"/>
      <c r="G7" s="223"/>
      <c r="H7" s="223"/>
      <c r="I7" s="223"/>
      <c r="J7" s="223"/>
    </row>
    <row r="8" spans="1:10" ht="6" customHeight="1" x14ac:dyDescent="0.2">
      <c r="A8" s="130"/>
      <c r="C8" s="32"/>
      <c r="D8" s="32"/>
      <c r="E8" s="32"/>
      <c r="F8" s="32"/>
      <c r="G8" s="1"/>
      <c r="H8" s="14"/>
      <c r="I8" s="32"/>
      <c r="J8" s="1"/>
    </row>
    <row r="9" spans="1:10" ht="15" customHeight="1" x14ac:dyDescent="0.2">
      <c r="A9" s="1" t="s">
        <v>1</v>
      </c>
      <c r="B9" s="1"/>
      <c r="C9" s="224" t="s">
        <v>366</v>
      </c>
      <c r="D9" s="224"/>
      <c r="E9" s="224"/>
      <c r="F9" s="224"/>
      <c r="G9" s="224"/>
      <c r="I9" s="14" t="s">
        <v>3</v>
      </c>
      <c r="J9" s="201" t="s">
        <v>257</v>
      </c>
    </row>
    <row r="10" spans="1:10" ht="6" customHeight="1" x14ac:dyDescent="0.25">
      <c r="A10" s="1"/>
      <c r="B10" s="1"/>
      <c r="C10" s="1"/>
      <c r="D10" s="131"/>
      <c r="E10" s="131"/>
      <c r="F10" s="131"/>
    </row>
    <row r="11" spans="1:10" ht="13.9" customHeight="1" x14ac:dyDescent="0.2">
      <c r="A11" s="1" t="s">
        <v>316</v>
      </c>
      <c r="B11" s="1"/>
      <c r="C11" s="224" t="s">
        <v>467</v>
      </c>
      <c r="D11" s="224"/>
      <c r="E11" s="224"/>
      <c r="F11" s="224"/>
      <c r="G11" s="224"/>
      <c r="I11" s="25" t="s">
        <v>5</v>
      </c>
      <c r="J11" s="202">
        <f ca="1">TODAY()</f>
        <v>45522</v>
      </c>
    </row>
    <row r="12" spans="1:10" ht="7.5" customHeight="1" x14ac:dyDescent="0.2">
      <c r="D12" s="57"/>
      <c r="E12" s="57"/>
      <c r="F12" s="57"/>
    </row>
    <row r="13" spans="1:10" ht="13.9" customHeight="1" x14ac:dyDescent="0.2">
      <c r="A13" s="1" t="s">
        <v>6</v>
      </c>
      <c r="B13" s="1"/>
      <c r="C13" s="225" t="s">
        <v>371</v>
      </c>
      <c r="D13" s="225"/>
      <c r="E13" s="225"/>
      <c r="F13" s="225"/>
      <c r="G13" s="225"/>
      <c r="H13" s="225"/>
      <c r="I13" s="225"/>
      <c r="J13" s="225"/>
    </row>
    <row r="14" spans="1:10" x14ac:dyDescent="0.2">
      <c r="A14" s="1"/>
      <c r="B14" s="1"/>
      <c r="C14" s="225"/>
      <c r="D14" s="225"/>
      <c r="E14" s="225"/>
      <c r="F14" s="225"/>
      <c r="G14" s="225"/>
      <c r="H14" s="225"/>
      <c r="I14" s="225"/>
      <c r="J14" s="225"/>
    </row>
    <row r="15" spans="1:10" ht="4.5" customHeight="1" x14ac:dyDescent="0.2">
      <c r="A15" s="1"/>
      <c r="B15" s="1"/>
      <c r="C15" s="7"/>
      <c r="D15" s="7"/>
      <c r="E15" s="7"/>
      <c r="F15" s="7"/>
      <c r="G15" s="7"/>
      <c r="H15" s="7"/>
      <c r="I15" s="145"/>
      <c r="J15" s="146"/>
    </row>
    <row r="16" spans="1:10" ht="4.5" customHeight="1" x14ac:dyDescent="0.2">
      <c r="A16" s="12"/>
      <c r="B16" s="12"/>
      <c r="C16" s="132"/>
      <c r="D16" s="132"/>
      <c r="E16" s="132"/>
      <c r="F16" s="132"/>
      <c r="G16" s="132"/>
      <c r="H16" s="132"/>
      <c r="I16" s="7"/>
      <c r="J16" s="33"/>
    </row>
    <row r="17" spans="1:10" x14ac:dyDescent="0.2">
      <c r="A17" s="213" t="s">
        <v>319</v>
      </c>
      <c r="B17" s="213"/>
      <c r="C17" s="213"/>
      <c r="D17" s="213"/>
      <c r="E17" s="1"/>
      <c r="F17" s="1"/>
      <c r="G17" s="7"/>
      <c r="I17" s="135" t="s">
        <v>318</v>
      </c>
      <c r="J17" s="203">
        <v>1</v>
      </c>
    </row>
    <row r="18" spans="1:10" ht="4.5" customHeight="1" x14ac:dyDescent="0.2">
      <c r="A18" s="1"/>
      <c r="B18" s="1"/>
      <c r="C18" s="7"/>
      <c r="D18" s="7"/>
      <c r="E18" s="7"/>
      <c r="F18" s="7"/>
      <c r="G18" s="7"/>
      <c r="I18" s="7"/>
      <c r="J18" s="7"/>
    </row>
    <row r="19" spans="1:10" x14ac:dyDescent="0.2">
      <c r="D19" s="135" t="s">
        <v>328</v>
      </c>
      <c r="E19" s="201" t="s">
        <v>257</v>
      </c>
      <c r="G19" s="16"/>
      <c r="I19" s="4" t="s">
        <v>331</v>
      </c>
      <c r="J19" s="201" t="s">
        <v>257</v>
      </c>
    </row>
    <row r="20" spans="1:10" ht="6" customHeight="1" x14ac:dyDescent="0.2">
      <c r="B20" s="1"/>
      <c r="C20" s="1"/>
      <c r="D20" s="1"/>
      <c r="E20" s="133"/>
      <c r="F20" s="133"/>
      <c r="G20" s="16"/>
      <c r="I20" s="134"/>
      <c r="J20" s="33"/>
    </row>
    <row r="21" spans="1:10" ht="14.25" customHeight="1" x14ac:dyDescent="0.2">
      <c r="B21" s="1"/>
      <c r="C21" s="1"/>
      <c r="D21" s="1"/>
      <c r="E21" s="133"/>
      <c r="F21" s="133"/>
      <c r="G21" s="16"/>
      <c r="I21" s="4" t="s">
        <v>471</v>
      </c>
      <c r="J21" s="201" t="s">
        <v>257</v>
      </c>
    </row>
    <row r="22" spans="1:10" ht="6" customHeight="1" x14ac:dyDescent="0.2">
      <c r="B22" s="1"/>
      <c r="C22" s="1"/>
      <c r="D22" s="1"/>
      <c r="E22" s="133"/>
      <c r="F22" s="133"/>
      <c r="G22" s="16"/>
      <c r="I22" s="134"/>
      <c r="J22" s="33"/>
    </row>
    <row r="23" spans="1:10" ht="15.75" customHeight="1" x14ac:dyDescent="0.2">
      <c r="A23" s="15"/>
      <c r="B23" s="16"/>
      <c r="C23" s="4"/>
      <c r="D23" s="32"/>
      <c r="E23" s="1"/>
      <c r="F23" s="15"/>
      <c r="I23" s="4" t="s">
        <v>365</v>
      </c>
      <c r="J23" s="201" t="s">
        <v>257</v>
      </c>
    </row>
    <row r="24" spans="1:10" ht="6.75" customHeight="1" x14ac:dyDescent="0.2">
      <c r="A24" s="10"/>
      <c r="B24" s="10"/>
      <c r="C24" s="10"/>
      <c r="D24" s="10"/>
      <c r="E24" s="10"/>
      <c r="F24" s="10"/>
      <c r="G24" s="10"/>
      <c r="H24" s="27"/>
      <c r="I24" s="10"/>
      <c r="J24" s="10"/>
    </row>
    <row r="25" spans="1:10" ht="6.75" customHeight="1" x14ac:dyDescent="0.2">
      <c r="A25" s="190"/>
      <c r="B25" s="188"/>
      <c r="C25" s="188"/>
      <c r="D25" s="188"/>
      <c r="E25" s="188"/>
      <c r="F25" s="188"/>
      <c r="G25" s="188"/>
      <c r="H25" s="189"/>
      <c r="I25" s="188"/>
      <c r="J25" s="191"/>
    </row>
    <row r="26" spans="1:10" ht="13.5" customHeight="1" x14ac:dyDescent="0.2">
      <c r="A26" s="192"/>
      <c r="B26" s="193" t="s">
        <v>329</v>
      </c>
      <c r="C26" s="194"/>
      <c r="D26" s="195" t="s">
        <v>336</v>
      </c>
      <c r="E26" s="181"/>
      <c r="F26" s="196"/>
      <c r="G26" s="194"/>
      <c r="H26" s="197" t="s">
        <v>330</v>
      </c>
      <c r="I26" s="181"/>
      <c r="J26" s="198"/>
    </row>
    <row r="27" spans="1:10" ht="5.25" customHeight="1" x14ac:dyDescent="0.2">
      <c r="A27" s="200"/>
      <c r="B27" s="183"/>
      <c r="C27" s="182"/>
      <c r="D27" s="184"/>
      <c r="E27" s="185"/>
      <c r="F27" s="186"/>
      <c r="G27" s="182"/>
      <c r="H27" s="187"/>
      <c r="I27" s="185"/>
      <c r="J27" s="199"/>
    </row>
    <row r="28" spans="1:10" ht="6.75" customHeight="1" thickBot="1" x14ac:dyDescent="0.25">
      <c r="A28" s="1"/>
      <c r="B28" s="1"/>
      <c r="C28" s="1"/>
      <c r="D28" s="1"/>
      <c r="E28" s="1"/>
      <c r="F28" s="1"/>
      <c r="G28" s="1"/>
      <c r="H28" s="25"/>
      <c r="I28" s="1"/>
      <c r="J28" s="1"/>
    </row>
    <row r="29" spans="1:10" ht="16.5" customHeight="1" thickTop="1" x14ac:dyDescent="0.2">
      <c r="A29" s="226" t="s">
        <v>7</v>
      </c>
      <c r="B29" s="226"/>
      <c r="C29" s="227"/>
      <c r="D29" s="230" t="s">
        <v>325</v>
      </c>
      <c r="E29" s="226"/>
      <c r="F29" s="227"/>
      <c r="G29" s="5"/>
      <c r="H29" s="140" t="s">
        <v>383</v>
      </c>
      <c r="I29" s="136"/>
      <c r="J29" s="136" t="s">
        <v>322</v>
      </c>
    </row>
    <row r="30" spans="1:10" ht="16.5" customHeight="1" thickBot="1" x14ac:dyDescent="0.25">
      <c r="A30" s="228"/>
      <c r="B30" s="228"/>
      <c r="C30" s="229"/>
      <c r="D30" s="231"/>
      <c r="E30" s="228"/>
      <c r="F30" s="229"/>
      <c r="G30" s="6" t="s">
        <v>321</v>
      </c>
      <c r="H30" s="31" t="s">
        <v>8</v>
      </c>
      <c r="I30" s="137" t="s">
        <v>9</v>
      </c>
      <c r="J30" s="137" t="s">
        <v>323</v>
      </c>
    </row>
    <row r="31" spans="1:10" ht="8.25" customHeight="1" thickTop="1" x14ac:dyDescent="0.2">
      <c r="A31" s="1"/>
      <c r="B31" s="7"/>
      <c r="C31" s="7"/>
      <c r="D31" s="7"/>
      <c r="E31" s="7"/>
      <c r="F31" s="7"/>
      <c r="G31" s="7"/>
      <c r="H31" s="25"/>
      <c r="I31" s="8"/>
      <c r="J31" s="8"/>
    </row>
    <row r="32" spans="1:10" x14ac:dyDescent="0.2">
      <c r="A32" s="9" t="s">
        <v>37</v>
      </c>
      <c r="B32" s="10"/>
      <c r="C32" s="10"/>
      <c r="D32" s="10"/>
      <c r="E32" s="10"/>
      <c r="F32" s="10"/>
      <c r="G32" s="10"/>
      <c r="H32" s="27"/>
      <c r="I32" s="11"/>
      <c r="J32" s="24"/>
    </row>
    <row r="33" spans="1:10" ht="15" customHeight="1" x14ac:dyDescent="0.2">
      <c r="A33" s="216" t="s">
        <v>384</v>
      </c>
      <c r="B33" s="217"/>
      <c r="C33" s="218"/>
      <c r="D33" s="204" t="s">
        <v>314</v>
      </c>
      <c r="E33" s="205"/>
      <c r="F33" s="206"/>
      <c r="G33" s="150" t="e">
        <f>IF(OR(H5="Permit Activation", H5="Permit Inactivation", H5="Like Kind Replacement"),"",IF(J21="Yes", 8, IF(AND(H5="New/Existing Unpermitted",INDEX('Rule 40 Fees'!A5:Q208,MATCH(C7,'Rule 40 Fees'!D5:D208,0),7)="T+M"), J17*INDEX('Rule 40 Fees'!A5:Q208,MATCH(C7,'Rule 40 Fees'!D5:D208,0),9),IF(OR(INDEX('Rule 40 Fees'!A5:Q208,MATCH(C7,'Rule 40 Fees'!D5:D208,0),7)="T+M", H5="Additional Identical Unit, Applying Same Time", H5="Modification", H5="Replacement", H5="Change of Location", H5="Amendment", H5="Other", H5="Existing Unpermitted, Rule 11 Change Only"), J17*INDEX('Rule 40 Fees'!A5:Q208,MATCH(C7,'Rule 40 Fees'!D5:D208,0),10),"N/A"))))</f>
        <v>#N/A</v>
      </c>
      <c r="H33" s="151" t="str">
        <f>IF(ISNUMBER(G33), 'Rule 40 Fees'!U9, "N/A")</f>
        <v>N/A</v>
      </c>
      <c r="I33" s="152" t="str">
        <f>IF(ISNUMBER(G33), G33*H33, "")</f>
        <v/>
      </c>
      <c r="J33" s="153" t="s">
        <v>11</v>
      </c>
    </row>
    <row r="34" spans="1:10" ht="15" customHeight="1" x14ac:dyDescent="0.2">
      <c r="A34" s="219"/>
      <c r="B34" s="220"/>
      <c r="C34" s="221"/>
      <c r="D34" s="204" t="s">
        <v>315</v>
      </c>
      <c r="E34" s="205"/>
      <c r="F34" s="206"/>
      <c r="G34" s="154" t="e">
        <f>IF(H34="N/A", "", J17)</f>
        <v>#N/A</v>
      </c>
      <c r="H34" s="155" t="e">
        <f>IF(H5="Like Kind Replacement", 'Rule 40 Fees'!U8, IF(H5="Permit Activation", 'Rule 40 Fees'!G185, IF(H5="Permit Inactivation", 'Rule 40 Fees'!G184, IF(INDEX('Rule 40 Fees'!A5:Q208,MATCH(C7,'Rule 40 Fees'!D5:D208,0),7)="T+M","N/A",IF(H5="New/Existing Unpermitted",INDEX('Rule 40 Fees'!A5:Q208,MATCH(C7,'Rule 40 Fees'!D5:D208,0),7),"N/A")))))</f>
        <v>#N/A</v>
      </c>
      <c r="I34" s="156" t="str">
        <f>IF(ISNUMBER(G34), G34*H34, "")</f>
        <v/>
      </c>
      <c r="J34" s="153" t="s">
        <v>25</v>
      </c>
    </row>
    <row r="35" spans="1:10" ht="12.75" customHeight="1" x14ac:dyDescent="0.2">
      <c r="A35" s="1"/>
      <c r="B35" s="1"/>
      <c r="C35" s="1"/>
      <c r="D35" s="157"/>
      <c r="E35" s="157"/>
      <c r="F35" s="157"/>
      <c r="G35" s="158"/>
      <c r="H35" s="159"/>
      <c r="I35" s="160"/>
      <c r="J35" s="160"/>
    </row>
    <row r="36" spans="1:10" x14ac:dyDescent="0.2">
      <c r="A36" s="13" t="s">
        <v>12</v>
      </c>
      <c r="B36" s="1"/>
      <c r="C36" s="1"/>
      <c r="D36" s="7"/>
      <c r="E36" s="7"/>
      <c r="F36" s="7"/>
      <c r="G36" s="158"/>
      <c r="H36" s="161"/>
      <c r="I36" s="162"/>
      <c r="J36" s="162"/>
    </row>
    <row r="37" spans="1:10" ht="15" customHeight="1" x14ac:dyDescent="0.2">
      <c r="A37" s="216" t="s">
        <v>13</v>
      </c>
      <c r="B37" s="217"/>
      <c r="C37" s="218"/>
      <c r="D37" s="232" t="s">
        <v>314</v>
      </c>
      <c r="E37" s="233"/>
      <c r="F37" s="234"/>
      <c r="G37" s="150" t="e">
        <f>IF(H5=Lists!A5, INDEX('Rule 40 Fees'!A5:Q208,MATCH(C7,'Rule 40 Fees'!D5:D208,0),11), "")</f>
        <v>#N/A</v>
      </c>
      <c r="H37" s="142" t="str">
        <f>IF(ISNUMBER(G37), 'Rule 40 Fees'!U9, "")</f>
        <v/>
      </c>
      <c r="I37" s="163" t="str">
        <f>IF(ISNUMBER(G37), H37*G37, "")</f>
        <v/>
      </c>
      <c r="J37" s="153" t="s">
        <v>14</v>
      </c>
    </row>
    <row r="38" spans="1:10" ht="15" customHeight="1" x14ac:dyDescent="0.2">
      <c r="A38" s="219"/>
      <c r="B38" s="220"/>
      <c r="C38" s="221"/>
      <c r="D38" s="235" t="s">
        <v>327</v>
      </c>
      <c r="E38" s="236"/>
      <c r="F38" s="237"/>
      <c r="G38" s="154" t="e">
        <f>IF(H5=Lists!A5, INDEX('Rule 40 Fees'!A5:Q208,MATCH(C7,'Rule 40 Fees'!D5:D208,0),14), "")</f>
        <v>#N/A</v>
      </c>
      <c r="H38" s="143" t="str">
        <f>IF(ISNUMBER(G38), 'Rule 40 Fees'!U9, "")</f>
        <v/>
      </c>
      <c r="I38" s="164" t="str">
        <f>IF(ISNUMBER(G38), H38*G38, "")</f>
        <v/>
      </c>
      <c r="J38" s="153" t="s">
        <v>16</v>
      </c>
    </row>
    <row r="39" spans="1:10" ht="6" customHeight="1" x14ac:dyDescent="0.2">
      <c r="A39" s="1"/>
      <c r="B39" s="1"/>
      <c r="C39" s="1"/>
      <c r="D39" s="157"/>
      <c r="E39" s="157"/>
      <c r="F39" s="157"/>
      <c r="G39" s="158"/>
      <c r="H39" s="159"/>
      <c r="I39" s="165"/>
      <c r="J39" s="160"/>
    </row>
    <row r="40" spans="1:10" ht="15" customHeight="1" x14ac:dyDescent="0.2">
      <c r="A40" s="243" t="s">
        <v>388</v>
      </c>
      <c r="B40" s="244"/>
      <c r="C40" s="245"/>
      <c r="D40" s="243" t="s">
        <v>326</v>
      </c>
      <c r="E40" s="244"/>
      <c r="F40" s="249"/>
      <c r="G40" s="209" t="e">
        <f>IF(J23="Yes", "", IF(OR(H5="Like Kind Replacement", H5="Permit Activation", H5="Permit Inactivation"), "", INDEX('Rule 40 Fees'!A5:R208,MATCH(C7,'Rule 40 Fees'!D5:D208,0),18)))</f>
        <v>#N/A</v>
      </c>
      <c r="H40" s="211" t="str">
        <f>IF(ISNUMBER(G40),'Rule 40 Fees'!U6, "")</f>
        <v/>
      </c>
      <c r="I40" s="207" t="str">
        <f>IF(ISNUMBER(G40), H40*G40, "")</f>
        <v/>
      </c>
      <c r="J40" s="238" t="s">
        <v>17</v>
      </c>
    </row>
    <row r="41" spans="1:10" ht="15" customHeight="1" x14ac:dyDescent="0.2">
      <c r="A41" s="246"/>
      <c r="B41" s="247"/>
      <c r="C41" s="248"/>
      <c r="D41" s="246"/>
      <c r="E41" s="247"/>
      <c r="F41" s="250"/>
      <c r="G41" s="210"/>
      <c r="H41" s="212"/>
      <c r="I41" s="208"/>
      <c r="J41" s="239"/>
    </row>
    <row r="42" spans="1:10" ht="6" customHeight="1" x14ac:dyDescent="0.2">
      <c r="A42" s="1"/>
      <c r="B42" s="1"/>
      <c r="C42" s="1"/>
      <c r="D42" s="7"/>
      <c r="E42" s="7"/>
      <c r="F42" s="7"/>
      <c r="G42" s="158"/>
      <c r="H42" s="161"/>
      <c r="I42" s="162"/>
      <c r="J42" s="162"/>
    </row>
    <row r="43" spans="1:10" x14ac:dyDescent="0.2">
      <c r="A43" s="204" t="s">
        <v>18</v>
      </c>
      <c r="B43" s="205"/>
      <c r="C43" s="241"/>
      <c r="D43" s="204" t="s">
        <v>314</v>
      </c>
      <c r="E43" s="205"/>
      <c r="F43" s="206"/>
      <c r="G43" s="166" t="e">
        <f>IF(H5=Lists!A5, INDEX('Rule 40 Fees'!A5:R208,MATCH(C7,'Rule 40 Fees'!D5:D208,0),13), "")</f>
        <v>#N/A</v>
      </c>
      <c r="H43" s="141" t="str">
        <f>IF(ISNUMBER(G43), 'Rule 40 Fees'!V15, "")</f>
        <v/>
      </c>
      <c r="I43" s="167" t="str">
        <f>IF(ISNUMBER(H43), H43*G43, "")</f>
        <v/>
      </c>
      <c r="J43" s="153" t="s">
        <v>19</v>
      </c>
    </row>
    <row r="44" spans="1:10" ht="6" customHeight="1" x14ac:dyDescent="0.2">
      <c r="A44" s="1"/>
      <c r="B44" s="1"/>
      <c r="C44" s="1"/>
      <c r="D44" s="157"/>
      <c r="E44" s="157"/>
      <c r="F44" s="157"/>
      <c r="G44" s="158"/>
      <c r="H44" s="159"/>
      <c r="I44" s="160"/>
      <c r="J44" s="160"/>
    </row>
    <row r="45" spans="1:10" x14ac:dyDescent="0.2">
      <c r="A45" s="204" t="s">
        <v>20</v>
      </c>
      <c r="B45" s="205"/>
      <c r="C45" s="241"/>
      <c r="D45" s="204" t="s">
        <v>314</v>
      </c>
      <c r="E45" s="205"/>
      <c r="F45" s="206"/>
      <c r="G45" s="166" t="e">
        <f>IF(H5=Lists!A5, INDEX('Rule 40 Fees'!A5:R208,MATCH(C7,'Rule 40 Fees'!D5:D208,0),12), "")</f>
        <v>#N/A</v>
      </c>
      <c r="H45" s="141" t="str">
        <f>IF(ISNUMBER(G45), 'Rule 40 Fees'!V17, "")</f>
        <v/>
      </c>
      <c r="I45" s="167" t="str">
        <f>IF(ISNUMBER(H45), H45*G45, "")</f>
        <v/>
      </c>
      <c r="J45" s="153" t="s">
        <v>21</v>
      </c>
    </row>
    <row r="46" spans="1:10" ht="6" customHeight="1" x14ac:dyDescent="0.2">
      <c r="A46" s="1"/>
      <c r="B46" s="1"/>
      <c r="C46" s="1"/>
      <c r="D46" s="157"/>
      <c r="E46" s="157"/>
      <c r="F46" s="157"/>
      <c r="G46" s="158"/>
      <c r="H46" s="159"/>
      <c r="I46" s="160"/>
      <c r="J46" s="160"/>
    </row>
    <row r="47" spans="1:10" ht="15.75" customHeight="1" x14ac:dyDescent="0.2">
      <c r="A47" s="242" t="s">
        <v>335</v>
      </c>
      <c r="B47" s="205"/>
      <c r="C47" s="241"/>
      <c r="D47" s="204" t="s">
        <v>385</v>
      </c>
      <c r="E47" s="205"/>
      <c r="F47" s="206"/>
      <c r="G47" s="166" t="e">
        <f>IF(H5=Lists!A5, INDEX('Rule 40 Fees'!A5:R208,MATCH(C7,'Rule 40 Fees'!D5:D208,0),15), "")</f>
        <v>#N/A</v>
      </c>
      <c r="H47" s="141" t="str">
        <f>IF(ISNUMBER(G47), 'Rule 40 Fees'!V19, "")</f>
        <v/>
      </c>
      <c r="I47" s="167" t="str">
        <f>IF(ISNUMBER(H47), H47*G47, "")</f>
        <v/>
      </c>
      <c r="J47" s="153" t="s">
        <v>389</v>
      </c>
    </row>
    <row r="48" spans="1:10" ht="4.5" customHeight="1" x14ac:dyDescent="0.2">
      <c r="A48" s="1"/>
      <c r="B48" s="1"/>
      <c r="C48" s="1"/>
      <c r="D48" s="157"/>
      <c r="E48" s="157"/>
      <c r="F48" s="157"/>
      <c r="G48" s="158"/>
      <c r="H48" s="168"/>
      <c r="I48" s="169"/>
      <c r="J48" s="160"/>
    </row>
    <row r="49" spans="1:10" x14ac:dyDescent="0.2">
      <c r="A49" s="13" t="s">
        <v>23</v>
      </c>
      <c r="B49" s="1"/>
      <c r="C49" s="1"/>
      <c r="D49" s="7"/>
      <c r="E49" s="7"/>
      <c r="F49" s="7"/>
      <c r="G49" s="158"/>
      <c r="H49" s="170"/>
      <c r="I49" s="162"/>
      <c r="J49" s="162"/>
    </row>
    <row r="50" spans="1:10" x14ac:dyDescent="0.2">
      <c r="A50" s="204" t="s">
        <v>24</v>
      </c>
      <c r="B50" s="205"/>
      <c r="C50" s="205"/>
      <c r="D50" s="205"/>
      <c r="E50" s="205"/>
      <c r="F50" s="206"/>
      <c r="G50" s="150">
        <f>IF(OR(H5="Permit Activation",H5="Permit Inactivation"),"",J17)</f>
        <v>1</v>
      </c>
      <c r="H50" s="171">
        <f>IF(ISNUMBER(G50),'Rule 40 Fees'!U4, "")</f>
        <v>130</v>
      </c>
      <c r="I50" s="172">
        <f>IF(G50="","", G50*H50)</f>
        <v>130</v>
      </c>
      <c r="J50" s="173" t="s">
        <v>324</v>
      </c>
    </row>
    <row r="51" spans="1:10" x14ac:dyDescent="0.2">
      <c r="A51" s="240" t="s">
        <v>387</v>
      </c>
      <c r="B51" s="205"/>
      <c r="C51" s="205"/>
      <c r="D51" s="205"/>
      <c r="E51" s="205"/>
      <c r="F51" s="206"/>
      <c r="G51" s="174" t="str">
        <f>IF(ISNUMBER(H51), J17, "")</f>
        <v/>
      </c>
      <c r="H51" s="175" t="e">
        <f>IF(H5="New/Existing Unpermitted", INDEX('Rule 40 Fees'!A5:Q208,MATCH(C7,'Rule 40 Fees'!D5:D208,0),8), "")</f>
        <v>#N/A</v>
      </c>
      <c r="I51" s="176">
        <f>IF((ISNUMBER(H51)),G51*H51,0)</f>
        <v>0</v>
      </c>
      <c r="J51" s="153" t="s">
        <v>26</v>
      </c>
    </row>
    <row r="52" spans="1:10" x14ac:dyDescent="0.2">
      <c r="A52" s="204" t="s">
        <v>27</v>
      </c>
      <c r="B52" s="205"/>
      <c r="C52" s="205"/>
      <c r="D52" s="205"/>
      <c r="E52" s="205"/>
      <c r="F52" s="206"/>
      <c r="G52" s="174" t="e">
        <f>IF(J9="No", J17*INDEX('Rule 40 Fees'!A5:Q208,MATCH(C7,'Rule 40 Fees'!D5:D208,0),16), "")</f>
        <v>#N/A</v>
      </c>
      <c r="H52" s="177" t="str">
        <f>IF(ISNUMBER(G52), 'Rule 40 Fees'!U5, "")</f>
        <v/>
      </c>
      <c r="I52" s="178">
        <f>IF(ISNUMBER(H52), G52*H52, 0)</f>
        <v>0</v>
      </c>
      <c r="J52" s="173" t="s">
        <v>28</v>
      </c>
    </row>
    <row r="53" spans="1:10" x14ac:dyDescent="0.2">
      <c r="A53" s="204" t="s">
        <v>334</v>
      </c>
      <c r="B53" s="205"/>
      <c r="C53" s="205"/>
      <c r="D53" s="205"/>
      <c r="E53" s="205"/>
      <c r="F53" s="206"/>
      <c r="G53" s="154" t="str">
        <f>IF(ISNUMBER(H53), 1, "")</f>
        <v/>
      </c>
      <c r="H53" s="179" t="str">
        <f>IF(J19="Yes", 'Rule 40 Fees'!U10, "")</f>
        <v/>
      </c>
      <c r="I53" s="180" t="str">
        <f>IF(ISNUMBER(G53), G53*H53, "")</f>
        <v/>
      </c>
      <c r="J53" s="173"/>
    </row>
    <row r="54" spans="1:10" ht="15" thickBot="1" x14ac:dyDescent="0.25">
      <c r="A54" s="1"/>
      <c r="B54" s="4"/>
      <c r="C54" s="15"/>
      <c r="D54" s="4"/>
      <c r="E54" s="4"/>
      <c r="F54" s="4"/>
      <c r="G54" s="16"/>
      <c r="H54" s="30"/>
      <c r="I54" s="17"/>
      <c r="J54" s="17"/>
    </row>
    <row r="55" spans="1:10" x14ac:dyDescent="0.2">
      <c r="A55" s="18" t="s">
        <v>29</v>
      </c>
      <c r="B55" s="18"/>
      <c r="C55" s="15"/>
      <c r="D55" s="4"/>
      <c r="E55" s="4"/>
      <c r="F55" s="4"/>
      <c r="G55" s="16"/>
      <c r="H55" s="29" t="s">
        <v>30</v>
      </c>
      <c r="I55" s="148">
        <f>SUM(I50:I53,I47,I45,I43,I40,I38,I37,I34,I33,I26)</f>
        <v>130</v>
      </c>
      <c r="J55" s="34"/>
    </row>
    <row r="56" spans="1:10" x14ac:dyDescent="0.2">
      <c r="A56" s="18"/>
      <c r="B56" s="18"/>
      <c r="C56" s="15"/>
      <c r="D56" s="4"/>
      <c r="E56" s="4"/>
      <c r="F56" s="4"/>
      <c r="G56" s="16"/>
      <c r="H56" s="29" t="s">
        <v>332</v>
      </c>
      <c r="I56" s="149" t="str">
        <f>IF(ISNUMBER(G53), (I55-I53)/2+H53, "")</f>
        <v/>
      </c>
      <c r="J56" s="34"/>
    </row>
    <row r="57" spans="1:10" x14ac:dyDescent="0.2">
      <c r="A57" s="18"/>
      <c r="B57" s="18"/>
      <c r="C57" s="15"/>
      <c r="D57" s="4"/>
      <c r="E57" s="4"/>
      <c r="F57" s="4"/>
      <c r="G57" s="16"/>
      <c r="H57" s="29" t="s">
        <v>333</v>
      </c>
      <c r="I57" s="149" t="str">
        <f>IF(ISNUMBER(G53), (I55-I53)/2, "")</f>
        <v/>
      </c>
      <c r="J57" s="34"/>
    </row>
    <row r="58" spans="1:10" x14ac:dyDescent="0.2">
      <c r="A58" s="19" t="s">
        <v>465</v>
      </c>
      <c r="B58" s="18"/>
      <c r="C58" s="15"/>
      <c r="D58" s="4"/>
      <c r="E58" s="4"/>
      <c r="F58" s="4"/>
      <c r="G58" s="16"/>
      <c r="H58" s="30"/>
      <c r="I58" s="17"/>
      <c r="J58" s="17"/>
    </row>
    <row r="59" spans="1:10" x14ac:dyDescent="0.2">
      <c r="A59" s="18" t="s">
        <v>31</v>
      </c>
      <c r="B59" s="18"/>
      <c r="C59" s="15"/>
      <c r="D59" s="4"/>
      <c r="E59" s="4"/>
      <c r="F59" s="4"/>
      <c r="G59" s="16"/>
      <c r="H59" s="30"/>
      <c r="I59" s="17"/>
      <c r="J59" s="17"/>
    </row>
    <row r="60" spans="1:10" x14ac:dyDescent="0.2">
      <c r="A60" s="18" t="s">
        <v>32</v>
      </c>
      <c r="B60" s="18"/>
      <c r="C60" s="15"/>
      <c r="D60" s="4"/>
      <c r="E60" s="4"/>
      <c r="F60" s="4"/>
      <c r="G60" s="16"/>
      <c r="H60" s="30"/>
      <c r="I60" s="17"/>
      <c r="J60" s="17"/>
    </row>
    <row r="61" spans="1:10" x14ac:dyDescent="0.2">
      <c r="A61" s="20" t="s">
        <v>33</v>
      </c>
      <c r="B61" s="20"/>
      <c r="C61" s="20"/>
      <c r="D61" s="21"/>
      <c r="E61" s="21"/>
      <c r="F61" s="21"/>
      <c r="G61" s="21"/>
      <c r="H61" s="30"/>
      <c r="I61" s="22"/>
      <c r="J61" s="22"/>
    </row>
    <row r="62" spans="1:10" x14ac:dyDescent="0.2">
      <c r="A62" s="20" t="s">
        <v>34</v>
      </c>
      <c r="B62" s="18"/>
      <c r="C62" s="18"/>
      <c r="D62" s="18"/>
      <c r="E62" s="18"/>
      <c r="F62" s="18"/>
      <c r="G62" s="18"/>
      <c r="H62" s="28"/>
      <c r="I62" s="23"/>
      <c r="J62" s="23"/>
    </row>
    <row r="63" spans="1:10" x14ac:dyDescent="0.2">
      <c r="A63" s="20" t="s">
        <v>474</v>
      </c>
    </row>
    <row r="64" spans="1:10" x14ac:dyDescent="0.2">
      <c r="A64" s="20" t="s">
        <v>466</v>
      </c>
    </row>
  </sheetData>
  <sheetProtection algorithmName="SHA-512" hashValue="knH7bWgXQBITjCc06k3lBhc9umhrg3QEDE8vn70s+FEyKDZiQylkxynU+KqU6pCD8nQmJYnKAPeoqlHVC8P4Sg==" saltValue="r73sbd3MkDuBD9EWrcvhBA==" spinCount="100000" sheet="1" selectLockedCells="1"/>
  <mergeCells count="34">
    <mergeCell ref="A37:C38"/>
    <mergeCell ref="D37:F37"/>
    <mergeCell ref="D38:F38"/>
    <mergeCell ref="J40:J41"/>
    <mergeCell ref="A53:F53"/>
    <mergeCell ref="A52:F52"/>
    <mergeCell ref="A51:F51"/>
    <mergeCell ref="A50:F50"/>
    <mergeCell ref="A43:C43"/>
    <mergeCell ref="A45:C45"/>
    <mergeCell ref="A47:C47"/>
    <mergeCell ref="A40:C41"/>
    <mergeCell ref="D47:F47"/>
    <mergeCell ref="D43:F43"/>
    <mergeCell ref="D45:F45"/>
    <mergeCell ref="D40:F41"/>
    <mergeCell ref="A1:J1"/>
    <mergeCell ref="A2:J2"/>
    <mergeCell ref="A3:J3"/>
    <mergeCell ref="A17:D17"/>
    <mergeCell ref="A33:C34"/>
    <mergeCell ref="H5:J5"/>
    <mergeCell ref="C7:J7"/>
    <mergeCell ref="C9:G9"/>
    <mergeCell ref="C11:G11"/>
    <mergeCell ref="C13:J14"/>
    <mergeCell ref="C5:E5"/>
    <mergeCell ref="A29:C30"/>
    <mergeCell ref="D29:F30"/>
    <mergeCell ref="D33:F33"/>
    <mergeCell ref="D34:F34"/>
    <mergeCell ref="I40:I41"/>
    <mergeCell ref="G40:G41"/>
    <mergeCell ref="H40:H41"/>
  </mergeCells>
  <conditionalFormatting sqref="E19">
    <cfRule type="containsText" dxfId="5" priority="4" operator="containsText" text="Enter PTO No.">
      <formula>NOT(ISERROR(SEARCH("Enter PTO No.",E19)))</formula>
    </cfRule>
  </conditionalFormatting>
  <conditionalFormatting sqref="G5:H5 G6:I6">
    <cfRule type="containsText" dxfId="4" priority="8" operator="containsText" text="Enter PTO No.">
      <formula>NOT(ISERROR(SEARCH("Enter PTO No.",G5)))</formula>
    </cfRule>
  </conditionalFormatting>
  <conditionalFormatting sqref="G8:I8 I9:J9 D23">
    <cfRule type="containsText" dxfId="3" priority="7" operator="containsText" text="Enter PTO No.">
      <formula>NOT(ISERROR(SEARCH("Enter PTO No.",D8)))</formula>
    </cfRule>
  </conditionalFormatting>
  <conditionalFormatting sqref="J19">
    <cfRule type="containsText" dxfId="2" priority="3" operator="containsText" text="Enter PTO No.">
      <formula>NOT(ISERROR(SEARCH("Enter PTO No.",J19)))</formula>
    </cfRule>
  </conditionalFormatting>
  <conditionalFormatting sqref="J21">
    <cfRule type="containsText" dxfId="1" priority="1" operator="containsText" text="Enter PTO No.">
      <formula>NOT(ISERROR(SEARCH("Enter PTO No.",J21)))</formula>
    </cfRule>
  </conditionalFormatting>
  <conditionalFormatting sqref="J23">
    <cfRule type="containsText" dxfId="0" priority="2" operator="containsText" text="Enter PTO No.">
      <formula>NOT(ISERROR(SEARCH("Enter PTO No.",J23)))</formula>
    </cfRule>
  </conditionalFormatting>
  <dataValidations count="2">
    <dataValidation type="list" allowBlank="1" showInputMessage="1" showErrorMessage="1" sqref="J23 E19 J19 J9 I8 J21" xr:uid="{AB3FC059-D599-451D-BD45-1BCB1C1860DC}">
      <formula1>"Yes, No"</formula1>
    </dataValidation>
    <dataValidation type="list" allowBlank="1" showInputMessage="1" showErrorMessage="1" sqref="C8" xr:uid="{E9E9D674-120D-4B38-B393-C34687771C3C}">
      <formula1>#REF!</formula1>
    </dataValidation>
  </dataValidations>
  <pageMargins left="0.45" right="0.45" top="0.75" bottom="0.25" header="0.3" footer="0.05"/>
  <pageSetup scale="8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D0F5FBA-873F-4C62-B6C9-38CACCB474A9}">
          <x14:formula1>
            <xm:f>'Rule 40 Fees'!$D$4:$D$208</xm:f>
          </x14:formula1>
          <xm:sqref>C7</xm:sqref>
        </x14:dataValidation>
        <x14:dataValidation type="list" allowBlank="1" showInputMessage="1" showErrorMessage="1" xr:uid="{D4F77CAC-35F7-4A8E-B4E7-4AA810EBC5C7}">
          <x14:formula1>
            <xm:f>Lists!$A$5:$A$15</xm:f>
          </x14:formula1>
          <xm:sqref>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02C9F-DB53-4058-8751-05219506232E}">
  <dimension ref="A3:A15"/>
  <sheetViews>
    <sheetView topLeftCell="B1" workbookViewId="0">
      <selection sqref="A1:A1048576"/>
    </sheetView>
  </sheetViews>
  <sheetFormatPr defaultRowHeight="15" x14ac:dyDescent="0.25"/>
  <cols>
    <col min="1" max="1" width="8.7109375" hidden="1" customWidth="1"/>
  </cols>
  <sheetData>
    <row r="3" spans="1:1" x14ac:dyDescent="0.25">
      <c r="A3" t="s">
        <v>375</v>
      </c>
    </row>
    <row r="5" spans="1:1" x14ac:dyDescent="0.25">
      <c r="A5" t="s">
        <v>374</v>
      </c>
    </row>
    <row r="6" spans="1:1" x14ac:dyDescent="0.25">
      <c r="A6" t="s">
        <v>472</v>
      </c>
    </row>
    <row r="7" spans="1:1" x14ac:dyDescent="0.25">
      <c r="A7" t="s">
        <v>376</v>
      </c>
    </row>
    <row r="8" spans="1:1" x14ac:dyDescent="0.25">
      <c r="A8" t="s">
        <v>377</v>
      </c>
    </row>
    <row r="9" spans="1:1" x14ac:dyDescent="0.25">
      <c r="A9" t="s">
        <v>378</v>
      </c>
    </row>
    <row r="10" spans="1:1" x14ac:dyDescent="0.25">
      <c r="A10" t="s">
        <v>393</v>
      </c>
    </row>
    <row r="11" spans="1:1" x14ac:dyDescent="0.25">
      <c r="A11" t="s">
        <v>391</v>
      </c>
    </row>
    <row r="12" spans="1:1" x14ac:dyDescent="0.25">
      <c r="A12" t="s">
        <v>381</v>
      </c>
    </row>
    <row r="13" spans="1:1" x14ac:dyDescent="0.25">
      <c r="A13" t="s">
        <v>380</v>
      </c>
    </row>
    <row r="14" spans="1:1" x14ac:dyDescent="0.25">
      <c r="A14" t="s">
        <v>192</v>
      </c>
    </row>
    <row r="15" spans="1:1" x14ac:dyDescent="0.25">
      <c r="A15" t="s">
        <v>379</v>
      </c>
    </row>
  </sheetData>
  <sheetProtection algorithmName="SHA-512" hashValue="emFI6zmjADSHGqyL41P5ePI7Qf48IruVFH4v+D4jCwpmub7rgse6xxfyFF0gLMvnlUweAXFkJ4f4vI2PfrexmA==" saltValue="sRkDYQmF6rSDEFY7y0xMNg==" spinCount="100000" sheet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93D4E-36D0-490F-9350-E3EC11886D4F}">
  <dimension ref="A1:U255"/>
  <sheetViews>
    <sheetView topLeftCell="V1" workbookViewId="0">
      <selection sqref="A1:U1048576"/>
    </sheetView>
  </sheetViews>
  <sheetFormatPr defaultColWidth="8.85546875" defaultRowHeight="12.75" x14ac:dyDescent="0.25"/>
  <cols>
    <col min="1" max="1" width="5.7109375" style="36" hidden="1" customWidth="1"/>
    <col min="2" max="3" width="4.7109375" style="36" hidden="1" customWidth="1"/>
    <col min="4" max="4" width="70.7109375" style="36" hidden="1" customWidth="1"/>
    <col min="5" max="5" width="66.140625" style="36" hidden="1" customWidth="1"/>
    <col min="6" max="6" width="66.42578125" style="36" hidden="1" customWidth="1"/>
    <col min="7" max="7" width="16.42578125" style="36" hidden="1" customWidth="1"/>
    <col min="8" max="8" width="17.85546875" style="36" hidden="1" customWidth="1"/>
    <col min="9" max="18" width="14" style="121" hidden="1" customWidth="1"/>
    <col min="19" max="19" width="35.28515625" style="36" hidden="1" customWidth="1"/>
    <col min="20" max="20" width="16.28515625" style="36" hidden="1" customWidth="1"/>
    <col min="21" max="21" width="16.85546875" style="36" hidden="1" customWidth="1"/>
    <col min="22" max="22" width="8.85546875" style="36" customWidth="1"/>
    <col min="23" max="16384" width="8.85546875" style="36"/>
  </cols>
  <sheetData>
    <row r="1" spans="1:21" ht="27.95" customHeight="1" x14ac:dyDescent="0.25">
      <c r="A1" s="58" t="s">
        <v>35</v>
      </c>
      <c r="B1" s="35"/>
      <c r="C1" s="35"/>
      <c r="D1" s="35"/>
      <c r="E1" s="35"/>
      <c r="F1" s="35"/>
      <c r="G1" s="35"/>
      <c r="H1" s="35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21" ht="31.5" customHeight="1" x14ac:dyDescent="0.2">
      <c r="A2" s="59" t="s">
        <v>36</v>
      </c>
      <c r="B2" s="38"/>
      <c r="C2" s="55"/>
      <c r="D2" s="55"/>
      <c r="E2" s="55"/>
      <c r="F2" s="37" t="s">
        <v>367</v>
      </c>
      <c r="G2" s="81"/>
      <c r="H2" s="81"/>
      <c r="I2" s="251" t="s">
        <v>249</v>
      </c>
      <c r="J2" s="251"/>
      <c r="K2" s="251"/>
      <c r="L2" s="251"/>
      <c r="M2" s="251"/>
      <c r="N2" s="82"/>
      <c r="O2" s="82"/>
      <c r="P2" s="82"/>
      <c r="Q2" s="82"/>
      <c r="R2" s="82"/>
      <c r="T2" s="39"/>
    </row>
    <row r="3" spans="1:21" ht="71.099999999999994" customHeight="1" x14ac:dyDescent="0.2">
      <c r="A3" s="40"/>
      <c r="B3" s="41"/>
      <c r="C3" s="56"/>
      <c r="D3" s="56" t="s">
        <v>370</v>
      </c>
      <c r="E3" s="56" t="s">
        <v>369</v>
      </c>
      <c r="F3" s="40" t="s">
        <v>368</v>
      </c>
      <c r="G3" s="83" t="s">
        <v>37</v>
      </c>
      <c r="H3" s="84" t="s">
        <v>38</v>
      </c>
      <c r="I3" s="85" t="s">
        <v>250</v>
      </c>
      <c r="J3" s="85" t="s">
        <v>251</v>
      </c>
      <c r="K3" s="85" t="s">
        <v>14</v>
      </c>
      <c r="L3" s="85" t="s">
        <v>20</v>
      </c>
      <c r="M3" s="85" t="s">
        <v>19</v>
      </c>
      <c r="N3" s="85" t="s">
        <v>382</v>
      </c>
      <c r="O3" s="85" t="s">
        <v>335</v>
      </c>
      <c r="P3" s="85" t="s">
        <v>28</v>
      </c>
      <c r="Q3" s="252" t="s">
        <v>373</v>
      </c>
      <c r="R3" s="252"/>
      <c r="S3" s="86"/>
      <c r="T3" s="253" t="s">
        <v>392</v>
      </c>
      <c r="U3" s="254"/>
    </row>
    <row r="4" spans="1:21" ht="17.100000000000001" customHeight="1" x14ac:dyDescent="0.25">
      <c r="A4" s="61" t="s">
        <v>252</v>
      </c>
      <c r="B4" s="42"/>
      <c r="C4" s="42"/>
      <c r="D4" s="42"/>
      <c r="E4" s="42"/>
      <c r="F4" s="42"/>
      <c r="G4" s="61"/>
      <c r="H4" s="87"/>
      <c r="I4" s="88"/>
      <c r="J4" s="88"/>
      <c r="K4" s="88"/>
      <c r="L4" s="88"/>
      <c r="M4" s="88"/>
      <c r="N4" s="88"/>
      <c r="O4" s="88"/>
      <c r="P4" s="88"/>
      <c r="Q4" s="88"/>
      <c r="R4" s="88"/>
      <c r="T4" s="60" t="s">
        <v>42</v>
      </c>
      <c r="U4" s="62">
        <v>130</v>
      </c>
    </row>
    <row r="5" spans="1:21" ht="20.100000000000001" customHeight="1" x14ac:dyDescent="0.25">
      <c r="A5" s="63">
        <v>1</v>
      </c>
      <c r="B5" s="43" t="s">
        <v>39</v>
      </c>
      <c r="C5" s="48"/>
      <c r="D5" s="48" t="str">
        <f>_xlfn.CONCAT("[",A5,B5,"]"," ",E5)</f>
        <v>[1A] Each Abrasive Blast Pot, 100 lb capactity or larger, no peripheral equipment</v>
      </c>
      <c r="E5" s="48" t="s">
        <v>394</v>
      </c>
      <c r="F5" s="44" t="s">
        <v>40</v>
      </c>
      <c r="G5" s="89" t="s">
        <v>41</v>
      </c>
      <c r="H5" s="69">
        <v>307</v>
      </c>
      <c r="I5" s="90">
        <v>4</v>
      </c>
      <c r="J5" s="90">
        <v>4</v>
      </c>
      <c r="K5" s="90" t="str">
        <f>""</f>
        <v/>
      </c>
      <c r="L5" s="90" t="str">
        <f>""</f>
        <v/>
      </c>
      <c r="M5" s="90" t="str">
        <f>""</f>
        <v/>
      </c>
      <c r="N5" s="90" t="str">
        <f>""</f>
        <v/>
      </c>
      <c r="O5" s="90" t="str">
        <f>""</f>
        <v/>
      </c>
      <c r="P5" s="90">
        <v>1</v>
      </c>
      <c r="Q5" s="90" t="s">
        <v>4</v>
      </c>
      <c r="R5" s="90">
        <f>IF(Q5="Yes", 1, "")</f>
        <v>1</v>
      </c>
      <c r="T5" s="60" t="s">
        <v>45</v>
      </c>
      <c r="U5" s="64">
        <v>116</v>
      </c>
    </row>
    <row r="6" spans="1:21" ht="23.1" customHeight="1" x14ac:dyDescent="0.25">
      <c r="A6" s="63">
        <v>1</v>
      </c>
      <c r="B6" s="43" t="s">
        <v>43</v>
      </c>
      <c r="C6" s="48"/>
      <c r="D6" s="48" t="str">
        <f t="shared" ref="D6:D53" si="0">_xlfn.CONCAT("[",A6,B6,"]"," ",E6)</f>
        <v>[1B] Each Abrasive Blast Pot, 100 lb capactity or larger, loaded pneumatically or from hoppers</v>
      </c>
      <c r="E6" s="48" t="s">
        <v>395</v>
      </c>
      <c r="F6" s="44" t="s">
        <v>44</v>
      </c>
      <c r="G6" s="89" t="s">
        <v>41</v>
      </c>
      <c r="H6" s="70">
        <v>261</v>
      </c>
      <c r="I6" s="91">
        <v>8</v>
      </c>
      <c r="J6" s="91">
        <v>8</v>
      </c>
      <c r="K6" s="90" t="str">
        <f>""</f>
        <v/>
      </c>
      <c r="L6" s="90" t="str">
        <f>""</f>
        <v/>
      </c>
      <c r="M6" s="90" t="str">
        <f>""</f>
        <v/>
      </c>
      <c r="N6" s="90" t="str">
        <f>""</f>
        <v/>
      </c>
      <c r="O6" s="90" t="str">
        <f>""</f>
        <v/>
      </c>
      <c r="P6" s="90">
        <v>1</v>
      </c>
      <c r="Q6" s="90" t="s">
        <v>4</v>
      </c>
      <c r="R6" s="90">
        <f t="shared" ref="R6:R53" si="1">IF(Q6="Yes", 1, "")</f>
        <v>1</v>
      </c>
      <c r="T6" s="60" t="s">
        <v>253</v>
      </c>
      <c r="U6" s="62">
        <f>8*G251+4*G252</f>
        <v>3212</v>
      </c>
    </row>
    <row r="7" spans="1:21" ht="14.1" customHeight="1" x14ac:dyDescent="0.25">
      <c r="A7" s="63">
        <v>1</v>
      </c>
      <c r="B7" s="43" t="s">
        <v>46</v>
      </c>
      <c r="C7" s="48"/>
      <c r="D7" s="48" t="str">
        <f t="shared" si="0"/>
        <v>[1C] Each Bulk Abrasive Blasting Material Storage System</v>
      </c>
      <c r="E7" s="48" t="s">
        <v>396</v>
      </c>
      <c r="F7" s="44" t="s">
        <v>47</v>
      </c>
      <c r="G7" s="89" t="s">
        <v>41</v>
      </c>
      <c r="H7" s="69">
        <v>245</v>
      </c>
      <c r="I7" s="90">
        <v>9</v>
      </c>
      <c r="J7" s="90">
        <v>9</v>
      </c>
      <c r="K7" s="90" t="str">
        <f>""</f>
        <v/>
      </c>
      <c r="L7" s="90" t="str">
        <f>""</f>
        <v/>
      </c>
      <c r="M7" s="90" t="str">
        <f>""</f>
        <v/>
      </c>
      <c r="N7" s="90" t="str">
        <f>""</f>
        <v/>
      </c>
      <c r="O7" s="90" t="str">
        <f>""</f>
        <v/>
      </c>
      <c r="P7" s="90">
        <v>1</v>
      </c>
      <c r="Q7" s="90" t="s">
        <v>257</v>
      </c>
      <c r="R7" s="90" t="str">
        <f t="shared" si="1"/>
        <v/>
      </c>
      <c r="T7" s="60" t="s">
        <v>254</v>
      </c>
      <c r="U7" s="62">
        <f>8*G251+4*G252</f>
        <v>3212</v>
      </c>
    </row>
    <row r="8" spans="1:21" ht="11.1" customHeight="1" x14ac:dyDescent="0.25">
      <c r="A8" s="63">
        <v>1</v>
      </c>
      <c r="B8" s="43" t="s">
        <v>49</v>
      </c>
      <c r="C8" s="48"/>
      <c r="D8" s="48" t="str">
        <f t="shared" si="0"/>
        <v>[1D] Each Spent Abrasive Handling System</v>
      </c>
      <c r="E8" s="48" t="s">
        <v>397</v>
      </c>
      <c r="F8" s="44" t="s">
        <v>50</v>
      </c>
      <c r="G8" s="89" t="s">
        <v>41</v>
      </c>
      <c r="H8" s="69">
        <v>245</v>
      </c>
      <c r="I8" s="90">
        <v>7</v>
      </c>
      <c r="J8" s="90">
        <v>7</v>
      </c>
      <c r="K8" s="90" t="str">
        <f>""</f>
        <v/>
      </c>
      <c r="L8" s="90" t="str">
        <f>""</f>
        <v/>
      </c>
      <c r="M8" s="90" t="str">
        <f>""</f>
        <v/>
      </c>
      <c r="N8" s="90" t="str">
        <f>""</f>
        <v/>
      </c>
      <c r="O8" s="90" t="str">
        <f>""</f>
        <v/>
      </c>
      <c r="P8" s="90">
        <v>1</v>
      </c>
      <c r="Q8" s="90" t="s">
        <v>257</v>
      </c>
      <c r="R8" s="90" t="str">
        <f t="shared" si="1"/>
        <v/>
      </c>
      <c r="T8" s="60" t="s">
        <v>52</v>
      </c>
      <c r="U8" s="64">
        <v>495</v>
      </c>
    </row>
    <row r="9" spans="1:21" ht="12" customHeight="1" x14ac:dyDescent="0.25">
      <c r="A9" s="63">
        <v>1</v>
      </c>
      <c r="B9" s="43" t="s">
        <v>51</v>
      </c>
      <c r="C9" s="48"/>
      <c r="D9" s="48" t="str">
        <f t="shared" si="0"/>
        <v>[1X] Each Portable Abrasive Blasting Unit, Registered Under Rule 12.1</v>
      </c>
      <c r="E9" s="48" t="s">
        <v>311</v>
      </c>
      <c r="F9" s="44" t="s">
        <v>311</v>
      </c>
      <c r="G9" s="72">
        <v>731</v>
      </c>
      <c r="H9" s="69">
        <v>368</v>
      </c>
      <c r="I9" s="90" t="s">
        <v>372</v>
      </c>
      <c r="J9" s="90">
        <f>G9/$U$9</f>
        <v>2.3206349206349208</v>
      </c>
      <c r="K9" s="90" t="str">
        <f>""</f>
        <v/>
      </c>
      <c r="L9" s="90" t="str">
        <f>""</f>
        <v/>
      </c>
      <c r="M9" s="90" t="str">
        <f>""</f>
        <v/>
      </c>
      <c r="N9" s="90" t="str">
        <f>""</f>
        <v/>
      </c>
      <c r="O9" s="90" t="str">
        <f>""</f>
        <v/>
      </c>
      <c r="P9" s="90">
        <v>1</v>
      </c>
      <c r="Q9" s="90" t="s">
        <v>257</v>
      </c>
      <c r="R9" s="90" t="str">
        <f t="shared" si="1"/>
        <v/>
      </c>
      <c r="T9" s="60" t="s">
        <v>53</v>
      </c>
      <c r="U9" s="62">
        <f>G251</f>
        <v>315</v>
      </c>
    </row>
    <row r="10" spans="1:21" ht="15.95" customHeight="1" x14ac:dyDescent="0.25">
      <c r="A10" s="61" t="s">
        <v>255</v>
      </c>
      <c r="B10" s="42"/>
      <c r="C10" s="42"/>
      <c r="D10" s="48" t="str">
        <f>""</f>
        <v/>
      </c>
      <c r="E10" s="42"/>
      <c r="F10" s="42"/>
      <c r="G10" s="61"/>
      <c r="H10" s="87"/>
      <c r="I10" s="88"/>
      <c r="J10" s="88"/>
      <c r="K10" s="88"/>
      <c r="L10" s="88"/>
      <c r="M10" s="88"/>
      <c r="N10" s="88"/>
      <c r="O10" s="88"/>
      <c r="P10" s="88"/>
      <c r="Q10" s="88"/>
      <c r="R10" s="90" t="str">
        <f t="shared" si="1"/>
        <v/>
      </c>
      <c r="T10" s="60" t="s">
        <v>386</v>
      </c>
      <c r="U10" s="144">
        <v>75</v>
      </c>
    </row>
    <row r="11" spans="1:21" ht="12.95" customHeight="1" x14ac:dyDescent="0.25">
      <c r="A11" s="63">
        <v>2</v>
      </c>
      <c r="B11" s="43" t="s">
        <v>39</v>
      </c>
      <c r="C11" s="48"/>
      <c r="D11" s="48" t="str">
        <f t="shared" si="0"/>
        <v>[2A] Each Abrasive Blasting Cabinet, Room or Booth</v>
      </c>
      <c r="E11" s="48" t="s">
        <v>312</v>
      </c>
      <c r="F11" s="44" t="s">
        <v>312</v>
      </c>
      <c r="G11" s="89" t="s">
        <v>41</v>
      </c>
      <c r="H11" s="69">
        <v>557</v>
      </c>
      <c r="I11" s="90">
        <v>16</v>
      </c>
      <c r="J11" s="90">
        <v>8</v>
      </c>
      <c r="K11" s="90" t="str">
        <f>""</f>
        <v/>
      </c>
      <c r="L11" s="90" t="str">
        <f>""</f>
        <v/>
      </c>
      <c r="M11" s="90" t="str">
        <f>""</f>
        <v/>
      </c>
      <c r="N11" s="90" t="str">
        <f>""</f>
        <v/>
      </c>
      <c r="O11" s="90" t="str">
        <f>""</f>
        <v/>
      </c>
      <c r="P11" s="90">
        <v>1</v>
      </c>
      <c r="Q11" s="90" t="s">
        <v>4</v>
      </c>
      <c r="R11" s="90">
        <f t="shared" si="1"/>
        <v>1</v>
      </c>
      <c r="T11" s="60" t="s">
        <v>390</v>
      </c>
      <c r="U11" s="62">
        <v>9</v>
      </c>
    </row>
    <row r="12" spans="1:21" ht="23.1" customHeight="1" x14ac:dyDescent="0.25">
      <c r="A12" s="63">
        <v>2</v>
      </c>
      <c r="B12" s="43" t="s">
        <v>43</v>
      </c>
      <c r="C12" s="48"/>
      <c r="D12" s="48" t="str">
        <f t="shared" si="0"/>
        <v>[2B] Each Abrasive Blast Cabinet, Room, or Booth with an Abrasive Transfer or Recycle System</v>
      </c>
      <c r="E12" s="48" t="s">
        <v>398</v>
      </c>
      <c r="F12" s="44" t="s">
        <v>313</v>
      </c>
      <c r="G12" s="89" t="s">
        <v>41</v>
      </c>
      <c r="H12" s="70">
        <v>540</v>
      </c>
      <c r="I12" s="91">
        <v>16</v>
      </c>
      <c r="J12" s="90">
        <v>8</v>
      </c>
      <c r="K12" s="90" t="str">
        <f>""</f>
        <v/>
      </c>
      <c r="L12" s="90" t="str">
        <f>""</f>
        <v/>
      </c>
      <c r="M12" s="90" t="str">
        <f>""</f>
        <v/>
      </c>
      <c r="N12" s="90" t="str">
        <f>""</f>
        <v/>
      </c>
      <c r="O12" s="90" t="str">
        <f>""</f>
        <v/>
      </c>
      <c r="P12" s="90">
        <v>1</v>
      </c>
      <c r="Q12" s="91" t="s">
        <v>4</v>
      </c>
      <c r="R12" s="90">
        <f t="shared" si="1"/>
        <v>1</v>
      </c>
    </row>
    <row r="13" spans="1:21" ht="23.1" customHeight="1" x14ac:dyDescent="0.25">
      <c r="A13" s="61" t="s">
        <v>256</v>
      </c>
      <c r="B13" s="42"/>
      <c r="C13" s="42"/>
      <c r="D13" s="48" t="str">
        <f>""</f>
        <v/>
      </c>
      <c r="E13" s="42"/>
      <c r="F13" s="42"/>
      <c r="G13" s="61"/>
      <c r="H13" s="87"/>
      <c r="I13" s="88"/>
      <c r="J13" s="88"/>
      <c r="K13" s="88"/>
      <c r="L13" s="88"/>
      <c r="M13" s="88"/>
      <c r="N13" s="88"/>
      <c r="O13" s="88"/>
      <c r="P13" s="88"/>
      <c r="Q13" s="88"/>
      <c r="R13" s="90" t="str">
        <f t="shared" si="1"/>
        <v/>
      </c>
    </row>
    <row r="14" spans="1:21" ht="15" customHeight="1" x14ac:dyDescent="0.25">
      <c r="A14" s="63">
        <v>3</v>
      </c>
      <c r="B14" s="43" t="s">
        <v>39</v>
      </c>
      <c r="C14" s="48"/>
      <c r="D14" s="48" t="str">
        <f t="shared" si="0"/>
        <v>[3A] Each Asphalt Roofing Kettle or Tanker with capacity greater than 85 gallons</v>
      </c>
      <c r="E14" s="48" t="s">
        <v>399</v>
      </c>
      <c r="F14" s="44" t="s">
        <v>337</v>
      </c>
      <c r="G14" s="89" t="s">
        <v>41</v>
      </c>
      <c r="H14" s="69">
        <v>347</v>
      </c>
      <c r="I14" s="90">
        <v>8</v>
      </c>
      <c r="J14" s="90">
        <v>8</v>
      </c>
      <c r="K14" s="90" t="str">
        <f>""</f>
        <v/>
      </c>
      <c r="L14" s="91" t="str">
        <f>""</f>
        <v/>
      </c>
      <c r="M14" s="91" t="str">
        <f>""</f>
        <v/>
      </c>
      <c r="N14" s="91" t="str">
        <f>""</f>
        <v/>
      </c>
      <c r="O14" s="91" t="str">
        <f>""</f>
        <v/>
      </c>
      <c r="P14" s="90">
        <v>1</v>
      </c>
      <c r="Q14" s="90" t="s">
        <v>257</v>
      </c>
      <c r="R14" s="90" t="str">
        <f t="shared" si="1"/>
        <v/>
      </c>
    </row>
    <row r="15" spans="1:21" ht="12" customHeight="1" x14ac:dyDescent="0.25">
      <c r="A15" s="63">
        <v>3</v>
      </c>
      <c r="B15" s="43" t="s">
        <v>54</v>
      </c>
      <c r="C15" s="48"/>
      <c r="D15" s="48" t="str">
        <f t="shared" si="0"/>
        <v>[3W] Each Registered Asphalt Roofing Kettle or Tanker (Portable)</v>
      </c>
      <c r="E15" s="48" t="s">
        <v>400</v>
      </c>
      <c r="F15" s="44" t="s">
        <v>55</v>
      </c>
      <c r="G15" s="67">
        <v>491</v>
      </c>
      <c r="H15" s="69">
        <v>306</v>
      </c>
      <c r="I15" s="90" t="s">
        <v>372</v>
      </c>
      <c r="J15" s="90">
        <f>G15/$U$9</f>
        <v>1.5587301587301587</v>
      </c>
      <c r="K15" s="90" t="str">
        <f>""</f>
        <v/>
      </c>
      <c r="L15" s="91" t="str">
        <f>""</f>
        <v/>
      </c>
      <c r="M15" s="91" t="str">
        <f>""</f>
        <v/>
      </c>
      <c r="N15" s="91" t="str">
        <f>""</f>
        <v/>
      </c>
      <c r="O15" s="91" t="str">
        <f>""</f>
        <v/>
      </c>
      <c r="P15" s="90">
        <v>1</v>
      </c>
      <c r="Q15" s="90" t="s">
        <v>257</v>
      </c>
      <c r="R15" s="90" t="str">
        <f t="shared" si="1"/>
        <v/>
      </c>
    </row>
    <row r="16" spans="1:21" ht="11.1" customHeight="1" x14ac:dyDescent="0.25">
      <c r="A16" s="92" t="s">
        <v>258</v>
      </c>
      <c r="B16" s="93"/>
      <c r="C16" s="93"/>
      <c r="D16" s="48" t="str">
        <f>""</f>
        <v/>
      </c>
      <c r="E16" s="93"/>
      <c r="F16" s="93"/>
      <c r="G16" s="92"/>
      <c r="H16" s="94"/>
      <c r="I16" s="95"/>
      <c r="J16" s="95"/>
      <c r="K16" s="95"/>
      <c r="L16" s="95"/>
      <c r="M16" s="95"/>
      <c r="N16" s="95"/>
      <c r="O16" s="95"/>
      <c r="P16" s="95"/>
      <c r="Q16" s="95"/>
      <c r="R16" s="90" t="str">
        <f t="shared" si="1"/>
        <v/>
      </c>
    </row>
    <row r="17" spans="1:18" ht="12" customHeight="1" x14ac:dyDescent="0.25">
      <c r="A17" s="63">
        <v>4</v>
      </c>
      <c r="B17" s="43" t="s">
        <v>39</v>
      </c>
      <c r="C17" s="48"/>
      <c r="D17" s="48" t="str">
        <f t="shared" si="0"/>
        <v>[4A] Each Hot-Mix Asphalt Batch or Drum Plant</v>
      </c>
      <c r="E17" s="48" t="s">
        <v>338</v>
      </c>
      <c r="F17" s="44" t="s">
        <v>56</v>
      </c>
      <c r="G17" s="96" t="s">
        <v>41</v>
      </c>
      <c r="H17" s="74">
        <v>1993</v>
      </c>
      <c r="I17" s="109">
        <v>30</v>
      </c>
      <c r="J17" s="109">
        <v>16</v>
      </c>
      <c r="K17" s="90" t="str">
        <f>""</f>
        <v/>
      </c>
      <c r="L17" s="91" t="str">
        <f>""</f>
        <v/>
      </c>
      <c r="M17" s="91" t="str">
        <f>""</f>
        <v/>
      </c>
      <c r="N17" s="91" t="str">
        <f>""</f>
        <v/>
      </c>
      <c r="O17" s="91" t="str">
        <f>""</f>
        <v/>
      </c>
      <c r="P17" s="90">
        <v>5</v>
      </c>
      <c r="Q17" s="138" t="s">
        <v>4</v>
      </c>
      <c r="R17" s="90">
        <f t="shared" si="1"/>
        <v>1</v>
      </c>
    </row>
    <row r="18" spans="1:18" ht="12" customHeight="1" x14ac:dyDescent="0.25">
      <c r="A18" s="61" t="s">
        <v>259</v>
      </c>
      <c r="B18" s="42"/>
      <c r="C18" s="42"/>
      <c r="D18" s="48" t="str">
        <f>""</f>
        <v/>
      </c>
      <c r="E18" s="42"/>
      <c r="F18" s="42"/>
      <c r="G18" s="61"/>
      <c r="H18" s="87"/>
      <c r="I18" s="88"/>
      <c r="J18" s="88"/>
      <c r="K18" s="88"/>
      <c r="L18" s="88"/>
      <c r="M18" s="88"/>
      <c r="N18" s="88"/>
      <c r="O18" s="88"/>
      <c r="P18" s="88"/>
      <c r="Q18" s="88"/>
      <c r="R18" s="90" t="str">
        <f t="shared" si="1"/>
        <v/>
      </c>
    </row>
    <row r="19" spans="1:18" ht="15.95" customHeight="1" x14ac:dyDescent="0.25">
      <c r="A19" s="63">
        <v>5</v>
      </c>
      <c r="B19" s="43" t="s">
        <v>54</v>
      </c>
      <c r="C19" s="48"/>
      <c r="D19" s="48" t="str">
        <f t="shared" si="0"/>
        <v>[5W] Each Registered Rock Drill</v>
      </c>
      <c r="E19" s="48" t="s">
        <v>339</v>
      </c>
      <c r="F19" s="44" t="s">
        <v>57</v>
      </c>
      <c r="G19" s="67">
        <v>827</v>
      </c>
      <c r="H19" s="69">
        <v>406</v>
      </c>
      <c r="I19" s="90" t="s">
        <v>372</v>
      </c>
      <c r="J19" s="90">
        <f>G19/$U$9</f>
        <v>2.6253968253968254</v>
      </c>
      <c r="K19" s="90" t="str">
        <f>""</f>
        <v/>
      </c>
      <c r="L19" s="91" t="str">
        <f>""</f>
        <v/>
      </c>
      <c r="M19" s="91" t="str">
        <f>""</f>
        <v/>
      </c>
      <c r="N19" s="91" t="str">
        <f>""</f>
        <v/>
      </c>
      <c r="O19" s="91" t="str">
        <f>""</f>
        <v/>
      </c>
      <c r="P19" s="90">
        <v>1</v>
      </c>
      <c r="Q19" s="90" t="s">
        <v>257</v>
      </c>
      <c r="R19" s="90" t="str">
        <f t="shared" si="1"/>
        <v/>
      </c>
    </row>
    <row r="20" spans="1:18" ht="30.95" customHeight="1" x14ac:dyDescent="0.25">
      <c r="A20" s="103" t="s">
        <v>260</v>
      </c>
      <c r="B20" s="42"/>
      <c r="C20" s="42"/>
      <c r="D20" s="48"/>
      <c r="E20" s="42"/>
      <c r="F20" s="42"/>
      <c r="G20" s="61"/>
      <c r="H20" s="87"/>
      <c r="I20" s="88"/>
      <c r="J20" s="88"/>
      <c r="K20" s="88"/>
      <c r="L20" s="88"/>
      <c r="M20" s="88"/>
      <c r="N20" s="88"/>
      <c r="O20" s="88"/>
      <c r="P20" s="88"/>
      <c r="Q20" s="88"/>
      <c r="R20" s="90" t="str">
        <f t="shared" si="1"/>
        <v/>
      </c>
    </row>
    <row r="21" spans="1:18" ht="19.5" customHeight="1" x14ac:dyDescent="0.25">
      <c r="A21" s="63">
        <v>6</v>
      </c>
      <c r="B21" s="43" t="s">
        <v>39</v>
      </c>
      <c r="C21" s="48"/>
      <c r="D21" s="48" t="str">
        <f t="shared" si="0"/>
        <v>[6A] Each Sand, Rock or Aggregate Screen Set, not Associated with a Crushing System</v>
      </c>
      <c r="E21" s="48" t="s">
        <v>340</v>
      </c>
      <c r="F21" s="44" t="s">
        <v>58</v>
      </c>
      <c r="G21" s="96" t="s">
        <v>41</v>
      </c>
      <c r="H21" s="69">
        <v>510</v>
      </c>
      <c r="I21" s="90">
        <v>16</v>
      </c>
      <c r="J21" s="90">
        <v>12</v>
      </c>
      <c r="K21" s="90" t="str">
        <f>""</f>
        <v/>
      </c>
      <c r="L21" s="91" t="str">
        <f>""</f>
        <v/>
      </c>
      <c r="M21" s="91" t="str">
        <f>""</f>
        <v/>
      </c>
      <c r="N21" s="91" t="str">
        <f>""</f>
        <v/>
      </c>
      <c r="O21" s="91" t="str">
        <f>""</f>
        <v/>
      </c>
      <c r="P21" s="90">
        <v>1</v>
      </c>
      <c r="Q21" s="90" t="s">
        <v>4</v>
      </c>
      <c r="R21" s="90">
        <f t="shared" si="1"/>
        <v>1</v>
      </c>
    </row>
    <row r="22" spans="1:18" ht="25.5" customHeight="1" x14ac:dyDescent="0.25">
      <c r="A22" s="63">
        <v>6</v>
      </c>
      <c r="B22" s="43" t="s">
        <v>51</v>
      </c>
      <c r="C22" s="48"/>
      <c r="D22" s="48" t="str">
        <f t="shared" si="0"/>
        <v>[6X] Each Portable Sand, Rock or Aggregate Screen Set, not Associated with a Crushing System</v>
      </c>
      <c r="E22" s="48" t="s">
        <v>341</v>
      </c>
      <c r="F22" s="44" t="s">
        <v>59</v>
      </c>
      <c r="G22" s="68">
        <v>850</v>
      </c>
      <c r="H22" s="70">
        <v>403</v>
      </c>
      <c r="I22" s="91" t="s">
        <v>372</v>
      </c>
      <c r="J22" s="90">
        <f>G22/$U$9</f>
        <v>2.6984126984126986</v>
      </c>
      <c r="K22" s="90" t="str">
        <f>""</f>
        <v/>
      </c>
      <c r="L22" s="91" t="str">
        <f>""</f>
        <v/>
      </c>
      <c r="M22" s="91" t="str">
        <f>""</f>
        <v/>
      </c>
      <c r="N22" s="91" t="str">
        <f>""</f>
        <v/>
      </c>
      <c r="O22" s="91" t="str">
        <f>""</f>
        <v/>
      </c>
      <c r="P22" s="90">
        <v>1</v>
      </c>
      <c r="Q22" s="91" t="s">
        <v>257</v>
      </c>
      <c r="R22" s="90" t="str">
        <f t="shared" si="1"/>
        <v/>
      </c>
    </row>
    <row r="23" spans="1:18" ht="12.95" customHeight="1" x14ac:dyDescent="0.25">
      <c r="A23" s="61" t="s">
        <v>261</v>
      </c>
      <c r="B23" s="42"/>
      <c r="C23" s="42"/>
      <c r="D23" s="48"/>
      <c r="E23" s="42"/>
      <c r="F23" s="42"/>
      <c r="G23" s="61"/>
      <c r="H23" s="87"/>
      <c r="I23" s="88"/>
      <c r="J23" s="88"/>
      <c r="K23" s="88"/>
      <c r="L23" s="88"/>
      <c r="M23" s="88"/>
      <c r="N23" s="88"/>
      <c r="O23" s="88"/>
      <c r="P23" s="88"/>
      <c r="Q23" s="88"/>
      <c r="R23" s="90" t="str">
        <f t="shared" si="1"/>
        <v/>
      </c>
    </row>
    <row r="24" spans="1:18" ht="35.1" customHeight="1" x14ac:dyDescent="0.25">
      <c r="A24" s="63">
        <v>7</v>
      </c>
      <c r="B24" s="43" t="s">
        <v>39</v>
      </c>
      <c r="C24" s="48"/>
      <c r="D24" s="48" t="str">
        <f t="shared" si="0"/>
        <v xml:space="preserve">[7A] Each Sand, Rock or Aggregate Crushing System </v>
      </c>
      <c r="E24" s="48" t="s">
        <v>401</v>
      </c>
      <c r="F24" s="44" t="s">
        <v>342</v>
      </c>
      <c r="G24" s="97" t="s">
        <v>41</v>
      </c>
      <c r="H24" s="70">
        <v>968</v>
      </c>
      <c r="I24" s="91">
        <v>20</v>
      </c>
      <c r="J24" s="91">
        <v>10</v>
      </c>
      <c r="K24" s="90" t="str">
        <f>""</f>
        <v/>
      </c>
      <c r="L24" s="91" t="str">
        <f>""</f>
        <v/>
      </c>
      <c r="M24" s="91" t="str">
        <f>""</f>
        <v/>
      </c>
      <c r="N24" s="91" t="str">
        <f>""</f>
        <v/>
      </c>
      <c r="O24" s="91" t="str">
        <f>""</f>
        <v/>
      </c>
      <c r="P24" s="90">
        <v>5</v>
      </c>
      <c r="Q24" s="91" t="s">
        <v>4</v>
      </c>
      <c r="R24" s="90">
        <f t="shared" si="1"/>
        <v>1</v>
      </c>
    </row>
    <row r="25" spans="1:18" ht="30" customHeight="1" x14ac:dyDescent="0.25">
      <c r="A25" s="63">
        <v>7</v>
      </c>
      <c r="B25" s="43" t="s">
        <v>43</v>
      </c>
      <c r="C25" s="48"/>
      <c r="D25" s="48" t="str">
        <f t="shared" si="0"/>
        <v xml:space="preserve">[7B] Each Sand, Rock or Aggregate Screening System </v>
      </c>
      <c r="E25" s="48" t="s">
        <v>402</v>
      </c>
      <c r="F25" s="44" t="s">
        <v>343</v>
      </c>
      <c r="G25" s="97" t="s">
        <v>41</v>
      </c>
      <c r="H25" s="70">
        <v>506</v>
      </c>
      <c r="I25" s="91">
        <v>16</v>
      </c>
      <c r="J25" s="91">
        <v>8</v>
      </c>
      <c r="K25" s="90" t="str">
        <f>""</f>
        <v/>
      </c>
      <c r="L25" s="91" t="str">
        <f>""</f>
        <v/>
      </c>
      <c r="M25" s="91" t="str">
        <f>""</f>
        <v/>
      </c>
      <c r="N25" s="91" t="str">
        <f>""</f>
        <v/>
      </c>
      <c r="O25" s="91" t="str">
        <f>""</f>
        <v/>
      </c>
      <c r="P25" s="90">
        <v>1</v>
      </c>
      <c r="Q25" s="91" t="s">
        <v>4</v>
      </c>
      <c r="R25" s="90">
        <f t="shared" si="1"/>
        <v>1</v>
      </c>
    </row>
    <row r="26" spans="1:18" ht="33.950000000000003" customHeight="1" x14ac:dyDescent="0.25">
      <c r="A26" s="63">
        <v>7</v>
      </c>
      <c r="B26" s="43" t="s">
        <v>46</v>
      </c>
      <c r="C26" s="48"/>
      <c r="D26" s="48" t="str">
        <f t="shared" si="0"/>
        <v xml:space="preserve">[7C] Each Loadout System </v>
      </c>
      <c r="E26" s="48" t="s">
        <v>403</v>
      </c>
      <c r="F26" s="44" t="s">
        <v>344</v>
      </c>
      <c r="G26" s="97" t="s">
        <v>41</v>
      </c>
      <c r="H26" s="70">
        <v>498</v>
      </c>
      <c r="I26" s="91">
        <v>12</v>
      </c>
      <c r="J26" s="91">
        <v>6</v>
      </c>
      <c r="K26" s="90" t="str">
        <f>""</f>
        <v/>
      </c>
      <c r="L26" s="91" t="str">
        <f>""</f>
        <v/>
      </c>
      <c r="M26" s="91" t="str">
        <f>""</f>
        <v/>
      </c>
      <c r="N26" s="91" t="str">
        <f>""</f>
        <v/>
      </c>
      <c r="O26" s="91" t="str">
        <f>""</f>
        <v/>
      </c>
      <c r="P26" s="90">
        <v>1</v>
      </c>
      <c r="Q26" s="91" t="s">
        <v>4</v>
      </c>
      <c r="R26" s="90">
        <f t="shared" si="1"/>
        <v>1</v>
      </c>
    </row>
    <row r="27" spans="1:18" ht="29.25" customHeight="1" x14ac:dyDescent="0.25">
      <c r="A27" s="63">
        <v>7</v>
      </c>
      <c r="B27" s="43" t="s">
        <v>51</v>
      </c>
      <c r="C27" s="48"/>
      <c r="D27" s="48" t="str">
        <f t="shared" si="0"/>
        <v>[7X] Each Portable Rock Crushing System (Including Screens, Conveyors, Loadouts), Registered Under Rule 12.1</v>
      </c>
      <c r="E27" s="48" t="s">
        <v>346</v>
      </c>
      <c r="F27" s="44" t="s">
        <v>345</v>
      </c>
      <c r="G27" s="67">
        <v>850</v>
      </c>
      <c r="H27" s="69">
        <v>371</v>
      </c>
      <c r="I27" s="90" t="s">
        <v>372</v>
      </c>
      <c r="J27" s="90">
        <f>G27/$U$9</f>
        <v>2.6984126984126986</v>
      </c>
      <c r="K27" s="90" t="str">
        <f>""</f>
        <v/>
      </c>
      <c r="L27" s="91" t="str">
        <f>""</f>
        <v/>
      </c>
      <c r="M27" s="91" t="str">
        <f>""</f>
        <v/>
      </c>
      <c r="N27" s="91" t="str">
        <f>""</f>
        <v/>
      </c>
      <c r="O27" s="91" t="str">
        <f>""</f>
        <v/>
      </c>
      <c r="P27" s="90">
        <v>1</v>
      </c>
      <c r="Q27" s="90" t="s">
        <v>257</v>
      </c>
      <c r="R27" s="90" t="str">
        <f t="shared" si="1"/>
        <v/>
      </c>
    </row>
    <row r="28" spans="1:18" ht="23.1" customHeight="1" x14ac:dyDescent="0.25">
      <c r="A28" s="61" t="s">
        <v>262</v>
      </c>
      <c r="B28" s="42"/>
      <c r="C28" s="42"/>
      <c r="D28" s="48"/>
      <c r="E28" s="42"/>
      <c r="F28" s="42"/>
      <c r="G28" s="61"/>
      <c r="H28" s="87"/>
      <c r="I28" s="88"/>
      <c r="J28" s="88"/>
      <c r="K28" s="88"/>
      <c r="L28" s="88"/>
      <c r="M28" s="88"/>
      <c r="N28" s="88"/>
      <c r="O28" s="88"/>
      <c r="P28" s="88"/>
      <c r="Q28" s="88"/>
      <c r="R28" s="90" t="str">
        <f t="shared" si="1"/>
        <v/>
      </c>
    </row>
    <row r="29" spans="1:18" ht="15.95" customHeight="1" x14ac:dyDescent="0.25">
      <c r="A29" s="63">
        <v>8</v>
      </c>
      <c r="B29" s="43" t="s">
        <v>39</v>
      </c>
      <c r="C29" s="48"/>
      <c r="D29" s="48" t="str">
        <f t="shared" si="0"/>
        <v>[8A] Each Concrete Batch Plant (including Cement-Treated Base Plants)</v>
      </c>
      <c r="E29" s="48" t="s">
        <v>347</v>
      </c>
      <c r="F29" s="44" t="s">
        <v>347</v>
      </c>
      <c r="G29" s="96" t="s">
        <v>41</v>
      </c>
      <c r="H29" s="69">
        <v>1029</v>
      </c>
      <c r="I29" s="90">
        <v>20</v>
      </c>
      <c r="J29" s="90">
        <v>16</v>
      </c>
      <c r="K29" s="90" t="str">
        <f>""</f>
        <v/>
      </c>
      <c r="L29" s="91" t="str">
        <f>""</f>
        <v/>
      </c>
      <c r="M29" s="91" t="str">
        <f>""</f>
        <v/>
      </c>
      <c r="N29" s="91" t="str">
        <f>""</f>
        <v/>
      </c>
      <c r="O29" s="91" t="str">
        <f>""</f>
        <v/>
      </c>
      <c r="P29" s="90">
        <v>1</v>
      </c>
      <c r="Q29" s="90" t="s">
        <v>4</v>
      </c>
      <c r="R29" s="90">
        <f t="shared" si="1"/>
        <v>1</v>
      </c>
    </row>
    <row r="30" spans="1:18" ht="20.25" customHeight="1" x14ac:dyDescent="0.25">
      <c r="A30" s="63">
        <v>8</v>
      </c>
      <c r="B30" s="43" t="s">
        <v>43</v>
      </c>
      <c r="C30" s="48"/>
      <c r="D30" s="48" t="str">
        <f t="shared" si="0"/>
        <v>[8B] Each Concrete Mixer over one cubic yard capacity, not part of a batch plant</v>
      </c>
      <c r="E30" s="48" t="s">
        <v>349</v>
      </c>
      <c r="F30" s="44" t="s">
        <v>348</v>
      </c>
      <c r="G30" s="96" t="s">
        <v>41</v>
      </c>
      <c r="H30" s="69">
        <v>376</v>
      </c>
      <c r="I30" s="90">
        <v>12</v>
      </c>
      <c r="J30" s="90">
        <v>8</v>
      </c>
      <c r="K30" s="90" t="str">
        <f>""</f>
        <v/>
      </c>
      <c r="L30" s="91" t="str">
        <f>""</f>
        <v/>
      </c>
      <c r="M30" s="91" t="str">
        <f>""</f>
        <v/>
      </c>
      <c r="N30" s="91" t="str">
        <f>""</f>
        <v/>
      </c>
      <c r="O30" s="91" t="str">
        <f>""</f>
        <v/>
      </c>
      <c r="P30" s="90">
        <v>1</v>
      </c>
      <c r="Q30" s="90" t="s">
        <v>4</v>
      </c>
      <c r="R30" s="90">
        <f t="shared" si="1"/>
        <v>1</v>
      </c>
    </row>
    <row r="31" spans="1:18" ht="23.1" customHeight="1" x14ac:dyDescent="0.25">
      <c r="A31" s="63">
        <v>8</v>
      </c>
      <c r="B31" s="43" t="s">
        <v>46</v>
      </c>
      <c r="C31" s="48"/>
      <c r="D31" s="48" t="str">
        <f t="shared" si="0"/>
        <v>[8C] Each Cement or Fly Ash Silo System not part of another system requiring a Permit</v>
      </c>
      <c r="E31" s="48" t="s">
        <v>350</v>
      </c>
      <c r="F31" s="44" t="s">
        <v>350</v>
      </c>
      <c r="G31" s="97" t="s">
        <v>41</v>
      </c>
      <c r="H31" s="70">
        <v>600</v>
      </c>
      <c r="I31" s="91">
        <v>12</v>
      </c>
      <c r="J31" s="91">
        <v>8</v>
      </c>
      <c r="K31" s="90" t="str">
        <f>""</f>
        <v/>
      </c>
      <c r="L31" s="91" t="str">
        <f>""</f>
        <v/>
      </c>
      <c r="M31" s="91" t="str">
        <f>""</f>
        <v/>
      </c>
      <c r="N31" s="91" t="str">
        <f>""</f>
        <v/>
      </c>
      <c r="O31" s="91" t="str">
        <f>""</f>
        <v/>
      </c>
      <c r="P31" s="90">
        <v>1</v>
      </c>
      <c r="Q31" s="91" t="s">
        <v>4</v>
      </c>
      <c r="R31" s="90">
        <f t="shared" si="1"/>
        <v>1</v>
      </c>
    </row>
    <row r="32" spans="1:18" ht="18" customHeight="1" x14ac:dyDescent="0.25">
      <c r="A32" s="63">
        <v>8</v>
      </c>
      <c r="B32" s="43" t="s">
        <v>51</v>
      </c>
      <c r="C32" s="48"/>
      <c r="D32" s="48" t="str">
        <f t="shared" si="0"/>
        <v>[8X] Each Portable Concrete Batch Plant, Registered Under Rule 12.1</v>
      </c>
      <c r="E32" s="48" t="s">
        <v>351</v>
      </c>
      <c r="F32" s="44" t="s">
        <v>351</v>
      </c>
      <c r="G32" s="67">
        <v>940</v>
      </c>
      <c r="H32" s="69">
        <v>439</v>
      </c>
      <c r="I32" s="90" t="s">
        <v>372</v>
      </c>
      <c r="J32" s="90">
        <f>G32/$U$9</f>
        <v>2.9841269841269842</v>
      </c>
      <c r="K32" s="90" t="str">
        <f>""</f>
        <v/>
      </c>
      <c r="L32" s="91" t="str">
        <f>""</f>
        <v/>
      </c>
      <c r="M32" s="91" t="str">
        <f>""</f>
        <v/>
      </c>
      <c r="N32" s="91" t="str">
        <f>""</f>
        <v/>
      </c>
      <c r="O32" s="91" t="str">
        <f>""</f>
        <v/>
      </c>
      <c r="P32" s="90">
        <v>1</v>
      </c>
      <c r="Q32" s="90" t="s">
        <v>257</v>
      </c>
      <c r="R32" s="90" t="str">
        <f t="shared" si="1"/>
        <v/>
      </c>
    </row>
    <row r="33" spans="1:18" ht="17.100000000000001" customHeight="1" x14ac:dyDescent="0.25">
      <c r="A33" s="61" t="s">
        <v>264</v>
      </c>
      <c r="B33" s="42"/>
      <c r="C33" s="42"/>
      <c r="D33" s="48"/>
      <c r="E33" s="42"/>
      <c r="F33" s="42"/>
      <c r="G33" s="61"/>
      <c r="H33" s="87"/>
      <c r="I33" s="88"/>
      <c r="J33" s="88"/>
      <c r="K33" s="88"/>
      <c r="L33" s="88"/>
      <c r="M33" s="88"/>
      <c r="N33" s="88"/>
      <c r="O33" s="88"/>
      <c r="P33" s="88"/>
      <c r="Q33" s="88"/>
      <c r="R33" s="90" t="str">
        <f t="shared" si="1"/>
        <v/>
      </c>
    </row>
    <row r="34" spans="1:18" ht="15.95" customHeight="1" x14ac:dyDescent="0.25">
      <c r="A34" s="63">
        <v>9</v>
      </c>
      <c r="B34" s="43" t="s">
        <v>39</v>
      </c>
      <c r="C34" s="48"/>
      <c r="D34" s="48" t="str">
        <f t="shared" si="0"/>
        <v>[9A] Each Concrete Products Manufacturing Plant</v>
      </c>
      <c r="E34" s="48" t="s">
        <v>352</v>
      </c>
      <c r="F34" s="44" t="s">
        <v>60</v>
      </c>
      <c r="G34" s="96" t="s">
        <v>41</v>
      </c>
      <c r="H34" s="69">
        <v>693</v>
      </c>
      <c r="I34" s="90">
        <v>20</v>
      </c>
      <c r="J34" s="90">
        <v>12</v>
      </c>
      <c r="K34" s="90" t="str">
        <f>""</f>
        <v/>
      </c>
      <c r="L34" s="91" t="str">
        <f>""</f>
        <v/>
      </c>
      <c r="M34" s="91" t="str">
        <f>""</f>
        <v/>
      </c>
      <c r="N34" s="91" t="str">
        <f>""</f>
        <v/>
      </c>
      <c r="O34" s="91" t="str">
        <f>""</f>
        <v/>
      </c>
      <c r="P34" s="90">
        <v>1</v>
      </c>
      <c r="Q34" s="90" t="s">
        <v>4</v>
      </c>
      <c r="R34" s="90">
        <f t="shared" si="1"/>
        <v>1</v>
      </c>
    </row>
    <row r="35" spans="1:18" ht="17.100000000000001" customHeight="1" x14ac:dyDescent="0.25">
      <c r="A35" s="61" t="s">
        <v>265</v>
      </c>
      <c r="B35" s="42"/>
      <c r="C35" s="42"/>
      <c r="D35" s="48"/>
      <c r="E35" s="42"/>
      <c r="F35" s="42"/>
      <c r="G35" s="61"/>
      <c r="H35" s="87"/>
      <c r="I35" s="88"/>
      <c r="J35" s="88"/>
      <c r="K35" s="88"/>
      <c r="L35" s="88"/>
      <c r="M35" s="88"/>
      <c r="N35" s="88"/>
      <c r="O35" s="88"/>
      <c r="P35" s="88"/>
      <c r="Q35" s="88"/>
      <c r="R35" s="90" t="str">
        <f t="shared" si="1"/>
        <v/>
      </c>
    </row>
    <row r="36" spans="1:18" ht="14.1" customHeight="1" x14ac:dyDescent="0.25">
      <c r="A36" s="63">
        <v>13</v>
      </c>
      <c r="B36" s="43" t="s">
        <v>39</v>
      </c>
      <c r="C36" s="48"/>
      <c r="D36" s="48" t="str">
        <f t="shared" si="0"/>
        <v>[13A] Each Boiler or Process Heater, 1 MMBTU/HR and up to, but not including 50 MMBTU/HR heat input</v>
      </c>
      <c r="E36" s="48" t="s">
        <v>353</v>
      </c>
      <c r="F36" s="44" t="s">
        <v>61</v>
      </c>
      <c r="G36" s="67">
        <v>3783</v>
      </c>
      <c r="H36" s="69">
        <v>537</v>
      </c>
      <c r="I36" s="90" t="s">
        <v>372</v>
      </c>
      <c r="J36" s="90">
        <v>8</v>
      </c>
      <c r="K36" s="90" t="str">
        <f>""</f>
        <v/>
      </c>
      <c r="L36" s="91" t="str">
        <f>""</f>
        <v/>
      </c>
      <c r="M36" s="91" t="str">
        <f>""</f>
        <v/>
      </c>
      <c r="N36" s="91" t="str">
        <f>""</f>
        <v/>
      </c>
      <c r="O36" s="91" t="str">
        <f>""</f>
        <v/>
      </c>
      <c r="P36" s="90">
        <v>1</v>
      </c>
      <c r="Q36" s="90" t="s">
        <v>257</v>
      </c>
      <c r="R36" s="90" t="str">
        <f t="shared" si="1"/>
        <v/>
      </c>
    </row>
    <row r="37" spans="1:18" ht="24.75" customHeight="1" x14ac:dyDescent="0.25">
      <c r="A37" s="63">
        <v>13</v>
      </c>
      <c r="B37" s="43" t="s">
        <v>43</v>
      </c>
      <c r="C37" s="48"/>
      <c r="D37" s="48" t="str">
        <f t="shared" si="0"/>
        <v>[13B] Each Boiler or Process Heater, 50 MMBTU/HR and up to, but not including 250 MMBTU/HR heat input</v>
      </c>
      <c r="E37" s="48" t="s">
        <v>354</v>
      </c>
      <c r="F37" s="44" t="s">
        <v>62</v>
      </c>
      <c r="G37" s="96" t="s">
        <v>41</v>
      </c>
      <c r="H37" s="69">
        <v>690</v>
      </c>
      <c r="I37" s="90">
        <v>24</v>
      </c>
      <c r="J37" s="90">
        <v>16</v>
      </c>
      <c r="K37" s="90" t="str">
        <f>""</f>
        <v/>
      </c>
      <c r="L37" s="91" t="str">
        <f>""</f>
        <v/>
      </c>
      <c r="M37" s="91" t="str">
        <f>""</f>
        <v/>
      </c>
      <c r="N37" s="91" t="str">
        <f>""</f>
        <v/>
      </c>
      <c r="O37" s="91" t="str">
        <f>""</f>
        <v/>
      </c>
      <c r="P37" s="90">
        <v>1</v>
      </c>
      <c r="Q37" s="90" t="s">
        <v>4</v>
      </c>
      <c r="R37" s="90">
        <f t="shared" si="1"/>
        <v>1</v>
      </c>
    </row>
    <row r="38" spans="1:18" ht="28.5" customHeight="1" x14ac:dyDescent="0.25">
      <c r="A38" s="63"/>
      <c r="B38" s="43"/>
      <c r="C38" s="48"/>
      <c r="D38" s="48"/>
      <c r="E38" s="48"/>
      <c r="F38" s="44"/>
      <c r="G38" s="97"/>
      <c r="H38" s="70"/>
      <c r="I38" s="91"/>
      <c r="J38" s="91"/>
      <c r="K38" s="90"/>
      <c r="L38" s="91"/>
      <c r="M38" s="91"/>
      <c r="N38" s="91"/>
      <c r="O38" s="91"/>
      <c r="P38" s="90"/>
      <c r="Q38" s="91"/>
      <c r="R38" s="90"/>
    </row>
    <row r="39" spans="1:18" ht="23.1" customHeight="1" x14ac:dyDescent="0.25">
      <c r="A39" s="63">
        <v>13</v>
      </c>
      <c r="B39" s="43" t="s">
        <v>66</v>
      </c>
      <c r="C39" s="48"/>
      <c r="D39" s="48" t="str">
        <f t="shared" si="0"/>
        <v>[13F] Each Boiler or Process Heater, 1 MMBTU/HR and up to, but not including 50 MMBTU/HR heat input, more than 5 units located onsite</v>
      </c>
      <c r="E39" s="48" t="s">
        <v>355</v>
      </c>
      <c r="F39" s="44" t="s">
        <v>67</v>
      </c>
      <c r="G39" s="96" t="s">
        <v>41</v>
      </c>
      <c r="H39" s="70">
        <v>423</v>
      </c>
      <c r="I39" s="91">
        <v>13</v>
      </c>
      <c r="J39" s="91">
        <v>8</v>
      </c>
      <c r="K39" s="90" t="str">
        <f>""</f>
        <v/>
      </c>
      <c r="L39" s="91" t="str">
        <f>""</f>
        <v/>
      </c>
      <c r="M39" s="91" t="str">
        <f>""</f>
        <v/>
      </c>
      <c r="N39" s="91" t="str">
        <f>""</f>
        <v/>
      </c>
      <c r="O39" s="91" t="str">
        <f>""</f>
        <v/>
      </c>
      <c r="P39" s="90">
        <v>1</v>
      </c>
      <c r="Q39" s="91" t="s">
        <v>257</v>
      </c>
      <c r="R39" s="90" t="str">
        <f t="shared" si="1"/>
        <v/>
      </c>
    </row>
    <row r="40" spans="1:18" ht="23.1" customHeight="1" x14ac:dyDescent="0.25">
      <c r="A40" s="63">
        <v>13</v>
      </c>
      <c r="B40" s="48" t="s">
        <v>70</v>
      </c>
      <c r="C40" s="48"/>
      <c r="D40" s="48" t="str">
        <f t="shared" si="0"/>
        <v>[13W] Each Boiler or Process Heater, 2 MMBTU/HR to less than 5 MMBTU/HR. Registered under Rule 12</v>
      </c>
      <c r="E40" s="48" t="s">
        <v>356</v>
      </c>
      <c r="F40" s="47" t="s">
        <v>71</v>
      </c>
      <c r="G40" s="76">
        <v>934</v>
      </c>
      <c r="H40" s="77">
        <v>284</v>
      </c>
      <c r="I40" s="101" t="s">
        <v>372</v>
      </c>
      <c r="J40" s="90">
        <f>G40/$U$9</f>
        <v>2.9650793650793652</v>
      </c>
      <c r="K40" s="90" t="str">
        <f>""</f>
        <v/>
      </c>
      <c r="L40" s="91" t="str">
        <f>""</f>
        <v/>
      </c>
      <c r="M40" s="91" t="str">
        <f>""</f>
        <v/>
      </c>
      <c r="N40" s="91" t="str">
        <f>""</f>
        <v/>
      </c>
      <c r="O40" s="91" t="str">
        <f>""</f>
        <v/>
      </c>
      <c r="P40" s="90">
        <v>1</v>
      </c>
      <c r="Q40" s="101" t="s">
        <v>257</v>
      </c>
      <c r="R40" s="90" t="str">
        <f t="shared" si="1"/>
        <v/>
      </c>
    </row>
    <row r="41" spans="1:18" ht="17.100000000000001" customHeight="1" x14ac:dyDescent="0.25">
      <c r="A41" s="61" t="s">
        <v>266</v>
      </c>
      <c r="B41" s="42"/>
      <c r="C41" s="42"/>
      <c r="D41" s="48"/>
      <c r="E41" s="42"/>
      <c r="F41" s="42"/>
      <c r="G41" s="61"/>
      <c r="H41" s="87"/>
      <c r="I41" s="88"/>
      <c r="J41" s="88"/>
      <c r="K41" s="88"/>
      <c r="L41" s="88"/>
      <c r="M41" s="88"/>
      <c r="N41" s="88"/>
      <c r="O41" s="88"/>
      <c r="P41" s="88"/>
      <c r="Q41" s="88"/>
      <c r="R41" s="90" t="str">
        <f t="shared" si="1"/>
        <v/>
      </c>
    </row>
    <row r="42" spans="1:18" ht="23.1" customHeight="1" x14ac:dyDescent="0.25">
      <c r="A42" s="63">
        <v>14</v>
      </c>
      <c r="B42" s="43" t="s">
        <v>39</v>
      </c>
      <c r="C42" s="48"/>
      <c r="D42" s="48" t="str">
        <f t="shared" si="0"/>
        <v>[14A] Each crematory or waste incinerator</v>
      </c>
      <c r="E42" s="48" t="s">
        <v>357</v>
      </c>
      <c r="F42" s="44" t="s">
        <v>267</v>
      </c>
      <c r="G42" s="97" t="s">
        <v>41</v>
      </c>
      <c r="H42" s="70">
        <v>1095</v>
      </c>
      <c r="I42" s="91">
        <v>20</v>
      </c>
      <c r="J42" s="91">
        <v>16</v>
      </c>
      <c r="K42" s="90" t="str">
        <f>""</f>
        <v/>
      </c>
      <c r="L42" s="91"/>
      <c r="M42" s="90" t="str">
        <f>""</f>
        <v/>
      </c>
      <c r="N42" s="90" t="str">
        <f>""</f>
        <v/>
      </c>
      <c r="O42" s="90" t="str">
        <f>""</f>
        <v/>
      </c>
      <c r="P42" s="91">
        <v>1</v>
      </c>
      <c r="Q42" s="91" t="s">
        <v>4</v>
      </c>
      <c r="R42" s="90">
        <f t="shared" si="1"/>
        <v>1</v>
      </c>
    </row>
    <row r="43" spans="1:18" ht="23.1" customHeight="1" x14ac:dyDescent="0.25">
      <c r="A43" s="63">
        <v>14</v>
      </c>
      <c r="B43" s="43" t="s">
        <v>46</v>
      </c>
      <c r="C43" s="48"/>
      <c r="D43" s="48" t="str">
        <f t="shared" si="0"/>
        <v>[14C] Each crematory or incinerator used exclusively for animals, no greater than 50 lb/hr</v>
      </c>
      <c r="E43" s="48" t="s">
        <v>358</v>
      </c>
      <c r="F43" s="44" t="s">
        <v>72</v>
      </c>
      <c r="G43" s="97" t="s">
        <v>41</v>
      </c>
      <c r="H43" s="70">
        <v>507</v>
      </c>
      <c r="I43" s="91">
        <v>20</v>
      </c>
      <c r="J43" s="91">
        <v>16</v>
      </c>
      <c r="K43" s="90" t="str">
        <f>""</f>
        <v/>
      </c>
      <c r="L43" s="91"/>
      <c r="M43" s="90" t="str">
        <f>""</f>
        <v/>
      </c>
      <c r="N43" s="90" t="str">
        <f>""</f>
        <v/>
      </c>
      <c r="O43" s="90" t="str">
        <f>""</f>
        <v/>
      </c>
      <c r="P43" s="91">
        <v>1</v>
      </c>
      <c r="Q43" s="91" t="s">
        <v>4</v>
      </c>
      <c r="R43" s="90">
        <f t="shared" si="1"/>
        <v>1</v>
      </c>
    </row>
    <row r="44" spans="1:18" ht="18" customHeight="1" x14ac:dyDescent="0.25">
      <c r="A44" s="61" t="s">
        <v>268</v>
      </c>
      <c r="B44" s="42"/>
      <c r="C44" s="42"/>
      <c r="D44" s="48"/>
      <c r="E44" s="42"/>
      <c r="F44" s="42"/>
      <c r="G44" s="61"/>
      <c r="H44" s="87"/>
      <c r="I44" s="88"/>
      <c r="J44" s="88"/>
      <c r="K44" s="88"/>
      <c r="L44" s="88"/>
      <c r="M44" s="88"/>
      <c r="N44" s="88"/>
      <c r="O44" s="88"/>
      <c r="P44" s="88"/>
      <c r="Q44" s="88"/>
      <c r="R44" s="90" t="str">
        <f t="shared" si="1"/>
        <v/>
      </c>
    </row>
    <row r="45" spans="1:18" ht="12.95" customHeight="1" x14ac:dyDescent="0.25">
      <c r="A45" s="63">
        <v>15</v>
      </c>
      <c r="B45" s="43" t="s">
        <v>39</v>
      </c>
      <c r="C45" s="48"/>
      <c r="D45" s="48" t="str">
        <f t="shared" si="0"/>
        <v>[15A] Each Burnout Oven used exclusively for Electric Motor/Armature Refurbishing Oven</v>
      </c>
      <c r="E45" s="48" t="s">
        <v>359</v>
      </c>
      <c r="F45" s="44" t="s">
        <v>73</v>
      </c>
      <c r="G45" s="96" t="s">
        <v>41</v>
      </c>
      <c r="H45" s="69">
        <v>505</v>
      </c>
      <c r="I45" s="90">
        <v>20</v>
      </c>
      <c r="J45" s="90">
        <v>16</v>
      </c>
      <c r="K45" s="91" t="str">
        <f>""</f>
        <v/>
      </c>
      <c r="L45" s="91" t="str">
        <f>""</f>
        <v/>
      </c>
      <c r="M45" s="91" t="str">
        <f>""</f>
        <v/>
      </c>
      <c r="N45" s="91" t="str">
        <f>""</f>
        <v/>
      </c>
      <c r="O45" s="91" t="str">
        <f>""</f>
        <v/>
      </c>
      <c r="P45" s="91">
        <v>1</v>
      </c>
      <c r="Q45" s="90" t="s">
        <v>4</v>
      </c>
      <c r="R45" s="90">
        <f t="shared" si="1"/>
        <v>1</v>
      </c>
    </row>
    <row r="46" spans="1:18" ht="12.95" customHeight="1" x14ac:dyDescent="0.25">
      <c r="A46" s="63">
        <v>15</v>
      </c>
      <c r="B46" s="43" t="s">
        <v>49</v>
      </c>
      <c r="C46" s="48"/>
      <c r="D46" s="48" t="str">
        <f t="shared" si="0"/>
        <v>[15D] Each Burnout Oven located at USN SIMA (ID # APCD1981-SITE-02798)</v>
      </c>
      <c r="E46" s="48" t="s">
        <v>361</v>
      </c>
      <c r="F46" s="44" t="s">
        <v>360</v>
      </c>
      <c r="G46" s="96" t="s">
        <v>41</v>
      </c>
      <c r="H46" s="69">
        <v>271</v>
      </c>
      <c r="I46" s="90">
        <v>20</v>
      </c>
      <c r="J46" s="90">
        <v>16</v>
      </c>
      <c r="K46" s="91" t="str">
        <f>""</f>
        <v/>
      </c>
      <c r="L46" s="91" t="str">
        <f>""</f>
        <v/>
      </c>
      <c r="M46" s="91" t="str">
        <f>""</f>
        <v/>
      </c>
      <c r="N46" s="91" t="str">
        <f>""</f>
        <v/>
      </c>
      <c r="O46" s="91" t="str">
        <f>""</f>
        <v/>
      </c>
      <c r="P46" s="91">
        <v>1</v>
      </c>
      <c r="Q46" s="90" t="s">
        <v>4</v>
      </c>
      <c r="R46" s="90">
        <f t="shared" si="1"/>
        <v>1</v>
      </c>
    </row>
    <row r="47" spans="1:18" ht="18" customHeight="1" x14ac:dyDescent="0.25">
      <c r="A47" s="61" t="s">
        <v>269</v>
      </c>
      <c r="B47" s="42"/>
      <c r="C47" s="42"/>
      <c r="D47" s="48"/>
      <c r="E47" s="42"/>
      <c r="F47" s="42"/>
      <c r="G47" s="61"/>
      <c r="H47" s="87"/>
      <c r="I47" s="88"/>
      <c r="J47" s="88"/>
      <c r="K47" s="88"/>
      <c r="L47" s="88"/>
      <c r="M47" s="88"/>
      <c r="N47" s="88"/>
      <c r="O47" s="88"/>
      <c r="P47" s="88"/>
      <c r="Q47" s="88"/>
      <c r="R47" s="90" t="str">
        <f t="shared" si="1"/>
        <v/>
      </c>
    </row>
    <row r="48" spans="1:18" ht="17.100000000000001" customHeight="1" x14ac:dyDescent="0.25">
      <c r="A48" s="63">
        <v>18</v>
      </c>
      <c r="B48" s="43" t="s">
        <v>46</v>
      </c>
      <c r="C48" s="48"/>
      <c r="D48" s="48" t="str">
        <f t="shared" si="0"/>
        <v>[18C] Each Pit or Stationary Metal Melting Crucible/Pot Furnace</v>
      </c>
      <c r="E48" s="48" t="s">
        <v>362</v>
      </c>
      <c r="F48" s="44" t="s">
        <v>74</v>
      </c>
      <c r="G48" s="96" t="s">
        <v>41</v>
      </c>
      <c r="H48" s="69">
        <v>519</v>
      </c>
      <c r="I48" s="90">
        <v>20</v>
      </c>
      <c r="J48" s="90">
        <v>16</v>
      </c>
      <c r="K48" s="91" t="str">
        <f>""</f>
        <v/>
      </c>
      <c r="L48" s="91" t="str">
        <f>""</f>
        <v/>
      </c>
      <c r="M48" s="91" t="str">
        <f>""</f>
        <v/>
      </c>
      <c r="N48" s="91" t="str">
        <f>""</f>
        <v/>
      </c>
      <c r="O48" s="91" t="str">
        <f>""</f>
        <v/>
      </c>
      <c r="P48" s="91">
        <v>1</v>
      </c>
      <c r="Q48" s="90" t="s">
        <v>4</v>
      </c>
      <c r="R48" s="90">
        <f t="shared" si="1"/>
        <v>1</v>
      </c>
    </row>
    <row r="49" spans="1:18" ht="18" customHeight="1" x14ac:dyDescent="0.25">
      <c r="A49" s="61" t="s">
        <v>270</v>
      </c>
      <c r="B49" s="42"/>
      <c r="C49" s="42"/>
      <c r="D49" s="48"/>
      <c r="E49" s="42"/>
      <c r="F49" s="42"/>
      <c r="G49" s="61"/>
      <c r="H49" s="87"/>
      <c r="I49" s="88"/>
      <c r="J49" s="88"/>
      <c r="K49" s="88"/>
      <c r="L49" s="88"/>
      <c r="M49" s="88"/>
      <c r="N49" s="88"/>
      <c r="O49" s="88"/>
      <c r="P49" s="88"/>
      <c r="Q49" s="88"/>
      <c r="R49" s="90" t="str">
        <f t="shared" si="1"/>
        <v/>
      </c>
    </row>
    <row r="50" spans="1:18" ht="21.95" customHeight="1" x14ac:dyDescent="0.25">
      <c r="A50" s="63">
        <v>19</v>
      </c>
      <c r="B50" s="43" t="s">
        <v>39</v>
      </c>
      <c r="C50" s="48"/>
      <c r="D50" s="48" t="str">
        <f t="shared" si="0"/>
        <v>[19A] Each Oil Quenching or Salt Bath Tank</v>
      </c>
      <c r="E50" s="48" t="s">
        <v>363</v>
      </c>
      <c r="F50" s="44" t="s">
        <v>75</v>
      </c>
      <c r="G50" s="97" t="s">
        <v>41</v>
      </c>
      <c r="H50" s="70">
        <v>296</v>
      </c>
      <c r="I50" s="91">
        <v>12</v>
      </c>
      <c r="J50" s="91">
        <v>8</v>
      </c>
      <c r="K50" s="91" t="str">
        <f>""</f>
        <v/>
      </c>
      <c r="L50" s="91" t="str">
        <f>""</f>
        <v/>
      </c>
      <c r="M50" s="91" t="str">
        <f>""</f>
        <v/>
      </c>
      <c r="N50" s="91" t="str">
        <f>""</f>
        <v/>
      </c>
      <c r="O50" s="91" t="str">
        <f>""</f>
        <v/>
      </c>
      <c r="P50" s="91">
        <v>1</v>
      </c>
      <c r="Q50" s="91" t="s">
        <v>257</v>
      </c>
      <c r="R50" s="90" t="str">
        <f t="shared" si="1"/>
        <v/>
      </c>
    </row>
    <row r="51" spans="1:18" ht="12" customHeight="1" x14ac:dyDescent="0.25">
      <c r="A51" s="61" t="s">
        <v>271</v>
      </c>
      <c r="B51" s="42"/>
      <c r="C51" s="42"/>
      <c r="D51" s="48"/>
      <c r="E51" s="42"/>
      <c r="F51" s="42"/>
      <c r="G51" s="61"/>
      <c r="H51" s="87"/>
      <c r="I51" s="88"/>
      <c r="J51" s="88"/>
      <c r="K51" s="88"/>
      <c r="L51" s="88"/>
      <c r="M51" s="88"/>
      <c r="N51" s="88"/>
      <c r="O51" s="88"/>
      <c r="P51" s="88"/>
      <c r="Q51" s="88"/>
      <c r="R51" s="90" t="str">
        <f t="shared" si="1"/>
        <v/>
      </c>
    </row>
    <row r="52" spans="1:18" ht="23.1" customHeight="1" x14ac:dyDescent="0.25">
      <c r="A52" s="63">
        <v>20</v>
      </c>
      <c r="B52" s="43" t="s">
        <v>39</v>
      </c>
      <c r="C52" s="48"/>
      <c r="D52" s="48" t="str">
        <f t="shared" si="0"/>
        <v>[20A] Each Aircraft Propulsion Turbine, Turboshaft, Turbojet or Turbofan Engine Test Cell or Stand</v>
      </c>
      <c r="E52" s="44" t="s">
        <v>364</v>
      </c>
      <c r="F52" s="44" t="s">
        <v>364</v>
      </c>
      <c r="G52" s="97" t="s">
        <v>41</v>
      </c>
      <c r="H52" s="70">
        <v>498</v>
      </c>
      <c r="I52" s="91">
        <v>20</v>
      </c>
      <c r="J52" s="91">
        <v>12</v>
      </c>
      <c r="K52" s="91"/>
      <c r="L52" s="91" t="str">
        <f>""</f>
        <v/>
      </c>
      <c r="M52" s="91" t="str">
        <f>""</f>
        <v/>
      </c>
      <c r="N52" s="91" t="str">
        <f>""</f>
        <v/>
      </c>
      <c r="O52" s="91" t="str">
        <f>""</f>
        <v/>
      </c>
      <c r="P52" s="91">
        <v>1</v>
      </c>
      <c r="Q52" s="91" t="s">
        <v>4</v>
      </c>
      <c r="R52" s="90">
        <f t="shared" si="1"/>
        <v>1</v>
      </c>
    </row>
    <row r="53" spans="1:18" ht="23.1" customHeight="1" x14ac:dyDescent="0.25">
      <c r="A53" s="63">
        <v>20</v>
      </c>
      <c r="B53" s="43" t="s">
        <v>43</v>
      </c>
      <c r="C53" s="48"/>
      <c r="D53" s="48" t="str">
        <f t="shared" si="0"/>
        <v>[20B] Each Aircraft Propulsion Test Cell or Stand at a facility where more than one such unit is located</v>
      </c>
      <c r="E53" s="44" t="s">
        <v>76</v>
      </c>
      <c r="F53" s="44" t="s">
        <v>76</v>
      </c>
      <c r="G53" s="97" t="s">
        <v>41</v>
      </c>
      <c r="H53" s="70">
        <v>270</v>
      </c>
      <c r="I53" s="91">
        <v>20</v>
      </c>
      <c r="J53" s="91">
        <v>12</v>
      </c>
      <c r="K53" s="91"/>
      <c r="L53" s="91" t="str">
        <f>""</f>
        <v/>
      </c>
      <c r="M53" s="91" t="str">
        <f>""</f>
        <v/>
      </c>
      <c r="N53" s="91" t="str">
        <f>""</f>
        <v/>
      </c>
      <c r="O53" s="91" t="str">
        <f>""</f>
        <v/>
      </c>
      <c r="P53" s="91">
        <v>1</v>
      </c>
      <c r="Q53" s="91" t="s">
        <v>4</v>
      </c>
      <c r="R53" s="90">
        <f t="shared" si="1"/>
        <v>1</v>
      </c>
    </row>
    <row r="54" spans="1:18" ht="15" customHeight="1" x14ac:dyDescent="0.25">
      <c r="A54" s="63">
        <v>20</v>
      </c>
      <c r="B54" s="43" t="s">
        <v>46</v>
      </c>
      <c r="C54" s="48"/>
      <c r="D54" s="48" t="str">
        <f t="shared" ref="D54:D103" si="2">_xlfn.CONCAT("[",A54,B54,"]"," ",E54)</f>
        <v>[20C] Each Non-Aircraft Turbine Test Cell or Stand</v>
      </c>
      <c r="E54" s="44" t="s">
        <v>77</v>
      </c>
      <c r="F54" s="44" t="s">
        <v>77</v>
      </c>
      <c r="G54" s="96" t="s">
        <v>41</v>
      </c>
      <c r="H54" s="69">
        <v>201</v>
      </c>
      <c r="I54" s="91">
        <v>20</v>
      </c>
      <c r="J54" s="90">
        <v>12</v>
      </c>
      <c r="K54" s="90"/>
      <c r="L54" s="91" t="str">
        <f>""</f>
        <v/>
      </c>
      <c r="M54" s="91" t="str">
        <f>""</f>
        <v/>
      </c>
      <c r="N54" s="91" t="str">
        <f>""</f>
        <v/>
      </c>
      <c r="O54" s="91" t="str">
        <f>""</f>
        <v/>
      </c>
      <c r="P54" s="91">
        <v>1</v>
      </c>
      <c r="Q54" s="90" t="s">
        <v>4</v>
      </c>
      <c r="R54" s="90">
        <f t="shared" ref="R54:R103" si="3">IF(Q54="Yes", 1, "")</f>
        <v>1</v>
      </c>
    </row>
    <row r="55" spans="1:18" ht="23.1" customHeight="1" x14ac:dyDescent="0.25">
      <c r="A55" s="63">
        <v>20</v>
      </c>
      <c r="B55" s="43" t="s">
        <v>49</v>
      </c>
      <c r="C55" s="48"/>
      <c r="D55" s="48" t="str">
        <f t="shared" si="2"/>
        <v>[20D] Each Non-Aircraft Turbine Engine 1 MM BTU/HR up to but not including 50 MM BTU/HR input</v>
      </c>
      <c r="E55" s="44" t="s">
        <v>78</v>
      </c>
      <c r="F55" s="44" t="s">
        <v>78</v>
      </c>
      <c r="G55" s="97" t="s">
        <v>41</v>
      </c>
      <c r="H55" s="70">
        <v>1163</v>
      </c>
      <c r="I55" s="91">
        <v>24</v>
      </c>
      <c r="J55" s="91">
        <v>16</v>
      </c>
      <c r="K55" s="91"/>
      <c r="L55" s="91" t="str">
        <f>""</f>
        <v/>
      </c>
      <c r="M55" s="91" t="str">
        <f>""</f>
        <v/>
      </c>
      <c r="N55" s="91" t="str">
        <f>""</f>
        <v/>
      </c>
      <c r="O55" s="91" t="str">
        <f>""</f>
        <v/>
      </c>
      <c r="P55" s="91">
        <v>1</v>
      </c>
      <c r="Q55" s="91" t="s">
        <v>4</v>
      </c>
      <c r="R55" s="90">
        <f t="shared" si="3"/>
        <v>1</v>
      </c>
    </row>
    <row r="56" spans="1:18" ht="23.1" customHeight="1" x14ac:dyDescent="0.25">
      <c r="A56" s="63">
        <v>20</v>
      </c>
      <c r="B56" s="43" t="s">
        <v>64</v>
      </c>
      <c r="C56" s="48"/>
      <c r="D56" s="48" t="str">
        <f t="shared" si="2"/>
        <v>[20E] Each Non-Aircraft Turbine Engine 50 MM BTU/HR up to but not including 250 MM BTU/HR input</v>
      </c>
      <c r="E56" s="44" t="s">
        <v>79</v>
      </c>
      <c r="F56" s="44" t="s">
        <v>79</v>
      </c>
      <c r="G56" s="97" t="s">
        <v>41</v>
      </c>
      <c r="H56" s="70">
        <v>1699</v>
      </c>
      <c r="I56" s="91">
        <v>24</v>
      </c>
      <c r="J56" s="91">
        <v>16</v>
      </c>
      <c r="K56" s="91"/>
      <c r="L56" s="91" t="str">
        <f>""</f>
        <v/>
      </c>
      <c r="M56" s="91" t="str">
        <f>""</f>
        <v/>
      </c>
      <c r="N56" s="91" t="str">
        <f>""</f>
        <v/>
      </c>
      <c r="O56" s="91" t="str">
        <f>""</f>
        <v/>
      </c>
      <c r="P56" s="91">
        <v>1</v>
      </c>
      <c r="Q56" s="91" t="s">
        <v>4</v>
      </c>
      <c r="R56" s="90">
        <f t="shared" si="3"/>
        <v>1</v>
      </c>
    </row>
    <row r="57" spans="1:18" ht="17.100000000000001" customHeight="1" x14ac:dyDescent="0.25">
      <c r="A57" s="63">
        <v>20</v>
      </c>
      <c r="B57" s="43" t="s">
        <v>66</v>
      </c>
      <c r="C57" s="48"/>
      <c r="D57" s="48" t="str">
        <f t="shared" si="2"/>
        <v>[20F] Each Non-Aircraft Turbine Engine 250 MM BTU/HR or greater input</v>
      </c>
      <c r="E57" s="44" t="s">
        <v>80</v>
      </c>
      <c r="F57" s="44" t="s">
        <v>80</v>
      </c>
      <c r="G57" s="96" t="s">
        <v>41</v>
      </c>
      <c r="H57" s="69">
        <v>4848</v>
      </c>
      <c r="I57" s="90">
        <v>100</v>
      </c>
      <c r="J57" s="90">
        <v>30</v>
      </c>
      <c r="K57" s="90"/>
      <c r="L57" s="91" t="str">
        <f>""</f>
        <v/>
      </c>
      <c r="M57" s="91" t="str">
        <f>""</f>
        <v/>
      </c>
      <c r="N57" s="91" t="str">
        <f>""</f>
        <v/>
      </c>
      <c r="O57" s="91" t="str">
        <f>""</f>
        <v/>
      </c>
      <c r="P57" s="91">
        <v>30</v>
      </c>
      <c r="Q57" s="90" t="s">
        <v>4</v>
      </c>
      <c r="R57" s="90">
        <f t="shared" si="3"/>
        <v>1</v>
      </c>
    </row>
    <row r="58" spans="1:18" ht="12.95" customHeight="1" x14ac:dyDescent="0.25">
      <c r="A58" s="63"/>
      <c r="B58" s="43"/>
      <c r="C58" s="48"/>
      <c r="D58" s="48"/>
      <c r="E58" s="44"/>
      <c r="F58" s="44"/>
      <c r="G58" s="96"/>
      <c r="H58" s="69"/>
      <c r="I58" s="91"/>
      <c r="J58" s="91"/>
      <c r="K58" s="91"/>
      <c r="L58" s="91"/>
      <c r="M58" s="91"/>
      <c r="N58" s="91"/>
      <c r="O58" s="91"/>
      <c r="P58" s="91"/>
      <c r="Q58" s="90"/>
      <c r="R58" s="90"/>
    </row>
    <row r="59" spans="1:18" ht="17.100000000000001" customHeight="1" x14ac:dyDescent="0.25">
      <c r="A59" s="63">
        <v>20</v>
      </c>
      <c r="B59" s="43" t="s">
        <v>69</v>
      </c>
      <c r="C59" s="48"/>
      <c r="D59" s="48" t="str">
        <f t="shared" si="2"/>
        <v>[20H] Each Standby Gas Turbine used for Emergency Power Generation</v>
      </c>
      <c r="E59" s="44" t="s">
        <v>81</v>
      </c>
      <c r="F59" s="44" t="s">
        <v>81</v>
      </c>
      <c r="G59" s="96" t="s">
        <v>41</v>
      </c>
      <c r="H59" s="69">
        <v>329</v>
      </c>
      <c r="I59" s="91">
        <v>20</v>
      </c>
      <c r="J59" s="91">
        <v>12</v>
      </c>
      <c r="K59" s="91"/>
      <c r="L59" s="91" t="str">
        <f>""</f>
        <v/>
      </c>
      <c r="M59" s="91" t="str">
        <f>""</f>
        <v/>
      </c>
      <c r="N59" s="91" t="str">
        <f>""</f>
        <v/>
      </c>
      <c r="O59" s="91" t="str">
        <f>""</f>
        <v/>
      </c>
      <c r="P59" s="91">
        <v>1</v>
      </c>
      <c r="Q59" s="90" t="s">
        <v>4</v>
      </c>
      <c r="R59" s="90">
        <f t="shared" si="3"/>
        <v>1</v>
      </c>
    </row>
    <row r="60" spans="1:18" ht="11.1" customHeight="1" x14ac:dyDescent="0.25">
      <c r="A60" s="61" t="s">
        <v>272</v>
      </c>
      <c r="B60" s="42"/>
      <c r="C60" s="42"/>
      <c r="D60" s="48"/>
      <c r="E60" s="42"/>
      <c r="F60" s="42"/>
      <c r="G60" s="61"/>
      <c r="H60" s="87"/>
      <c r="I60" s="88"/>
      <c r="J60" s="88"/>
      <c r="K60" s="88"/>
      <c r="L60" s="88"/>
      <c r="M60" s="88"/>
      <c r="N60" s="88"/>
      <c r="O60" s="88"/>
      <c r="P60" s="88"/>
      <c r="Q60" s="88"/>
      <c r="R60" s="90" t="str">
        <f t="shared" si="3"/>
        <v/>
      </c>
    </row>
    <row r="61" spans="1:18" ht="15" customHeight="1" x14ac:dyDescent="0.25">
      <c r="A61" s="63">
        <v>21</v>
      </c>
      <c r="B61" s="43" t="s">
        <v>39</v>
      </c>
      <c r="C61" s="48"/>
      <c r="D61" s="48" t="str">
        <f t="shared" si="2"/>
        <v>[21A] Each Paper or Wood Shredder or Hammermill Grinder</v>
      </c>
      <c r="E61" s="44" t="s">
        <v>82</v>
      </c>
      <c r="F61" s="44" t="s">
        <v>82</v>
      </c>
      <c r="G61" s="96" t="s">
        <v>41</v>
      </c>
      <c r="H61" s="69">
        <v>387</v>
      </c>
      <c r="I61" s="90">
        <v>16</v>
      </c>
      <c r="J61" s="90">
        <v>12</v>
      </c>
      <c r="K61" s="90" t="str">
        <f>""</f>
        <v/>
      </c>
      <c r="L61" s="91" t="str">
        <f>""</f>
        <v/>
      </c>
      <c r="M61" s="91" t="str">
        <f>""</f>
        <v/>
      </c>
      <c r="N61" s="91" t="str">
        <f>""</f>
        <v/>
      </c>
      <c r="O61" s="91" t="str">
        <f>""</f>
        <v/>
      </c>
      <c r="P61" s="91">
        <v>1</v>
      </c>
      <c r="Q61" s="90" t="s">
        <v>257</v>
      </c>
      <c r="R61" s="90" t="str">
        <f t="shared" si="3"/>
        <v/>
      </c>
    </row>
    <row r="62" spans="1:18" ht="30.75" customHeight="1" x14ac:dyDescent="0.2">
      <c r="A62" s="63">
        <v>21</v>
      </c>
      <c r="B62" s="48" t="s">
        <v>70</v>
      </c>
      <c r="C62" s="126"/>
      <c r="D62" s="48" t="str">
        <f t="shared" si="2"/>
        <v>[21W] Each Paper Shredder with a maximum throughput capacity of greater
than 600 pounds per hour, Registered Under Rule 12</v>
      </c>
      <c r="E62" s="147" t="s">
        <v>273</v>
      </c>
      <c r="F62" s="104" t="s">
        <v>273</v>
      </c>
      <c r="G62" s="105">
        <v>900</v>
      </c>
      <c r="H62" s="69">
        <v>421</v>
      </c>
      <c r="I62" s="90" t="s">
        <v>372</v>
      </c>
      <c r="J62" s="90">
        <f>G62/$U$9</f>
        <v>2.8571428571428572</v>
      </c>
      <c r="K62" s="90" t="str">
        <f>""</f>
        <v/>
      </c>
      <c r="L62" s="91" t="str">
        <f>""</f>
        <v/>
      </c>
      <c r="M62" s="91" t="str">
        <f>""</f>
        <v/>
      </c>
      <c r="N62" s="91" t="str">
        <f>""</f>
        <v/>
      </c>
      <c r="O62" s="91" t="str">
        <f>""</f>
        <v/>
      </c>
      <c r="P62" s="91">
        <v>1</v>
      </c>
      <c r="Q62" s="90" t="s">
        <v>257</v>
      </c>
      <c r="R62" s="90" t="str">
        <f t="shared" si="3"/>
        <v/>
      </c>
    </row>
    <row r="63" spans="1:18" ht="12" customHeight="1" x14ac:dyDescent="0.25">
      <c r="A63" s="61" t="s">
        <v>274</v>
      </c>
      <c r="B63" s="42"/>
      <c r="C63" s="42"/>
      <c r="D63" s="48"/>
      <c r="E63" s="42"/>
      <c r="F63" s="42"/>
      <c r="G63" s="61"/>
      <c r="H63" s="87"/>
      <c r="I63" s="88"/>
      <c r="J63" s="88"/>
      <c r="K63" s="88"/>
      <c r="L63" s="88"/>
      <c r="M63" s="88"/>
      <c r="N63" s="88"/>
      <c r="O63" s="88"/>
      <c r="P63" s="88"/>
      <c r="Q63" s="88"/>
      <c r="R63" s="90" t="str">
        <f t="shared" si="3"/>
        <v/>
      </c>
    </row>
    <row r="64" spans="1:18" ht="12" customHeight="1" x14ac:dyDescent="0.25">
      <c r="A64" s="63">
        <v>22</v>
      </c>
      <c r="B64" s="43" t="s">
        <v>39</v>
      </c>
      <c r="C64" s="48"/>
      <c r="D64" s="48" t="str">
        <f t="shared" si="2"/>
        <v>[22A] Each Feed, Grain or Kelp Receiving System (includes Silos)</v>
      </c>
      <c r="E64" s="44" t="s">
        <v>404</v>
      </c>
      <c r="F64" s="44" t="s">
        <v>83</v>
      </c>
      <c r="G64" s="96" t="s">
        <v>41</v>
      </c>
      <c r="H64" s="69">
        <v>611</v>
      </c>
      <c r="I64" s="90">
        <v>16</v>
      </c>
      <c r="J64" s="90">
        <v>12</v>
      </c>
      <c r="K64" s="90" t="str">
        <f>""</f>
        <v/>
      </c>
      <c r="L64" s="91" t="str">
        <f>""</f>
        <v/>
      </c>
      <c r="M64" s="91" t="str">
        <f>""</f>
        <v/>
      </c>
      <c r="N64" s="91" t="str">
        <f>""</f>
        <v/>
      </c>
      <c r="O64" s="91" t="str">
        <f>""</f>
        <v/>
      </c>
      <c r="P64" s="91">
        <v>1</v>
      </c>
      <c r="Q64" s="90" t="s">
        <v>4</v>
      </c>
      <c r="R64" s="90">
        <f t="shared" si="3"/>
        <v>1</v>
      </c>
    </row>
    <row r="65" spans="1:18" ht="11.1" customHeight="1" x14ac:dyDescent="0.25">
      <c r="A65" s="63">
        <v>22</v>
      </c>
      <c r="B65" s="43" t="s">
        <v>43</v>
      </c>
      <c r="C65" s="48"/>
      <c r="D65" s="48" t="str">
        <f t="shared" si="2"/>
        <v>[22B] Each Feed, Grain or Kelp Grinder, Cracker, or Roll Mill</v>
      </c>
      <c r="E65" s="44" t="s">
        <v>405</v>
      </c>
      <c r="F65" s="44" t="s">
        <v>84</v>
      </c>
      <c r="G65" s="96" t="s">
        <v>41</v>
      </c>
      <c r="H65" s="69">
        <v>568</v>
      </c>
      <c r="I65" s="90">
        <v>16</v>
      </c>
      <c r="J65" s="90">
        <v>12</v>
      </c>
      <c r="K65" s="90" t="str">
        <f>""</f>
        <v/>
      </c>
      <c r="L65" s="91" t="str">
        <f>""</f>
        <v/>
      </c>
      <c r="M65" s="91" t="str">
        <f>""</f>
        <v/>
      </c>
      <c r="N65" s="91" t="str">
        <f>""</f>
        <v/>
      </c>
      <c r="O65" s="91" t="str">
        <f>""</f>
        <v/>
      </c>
      <c r="P65" s="91">
        <v>1</v>
      </c>
      <c r="Q65" s="90" t="s">
        <v>4</v>
      </c>
      <c r="R65" s="90">
        <f t="shared" si="3"/>
        <v>1</v>
      </c>
    </row>
    <row r="66" spans="1:18" ht="23.1" customHeight="1" x14ac:dyDescent="0.25">
      <c r="A66" s="63">
        <v>22</v>
      </c>
      <c r="B66" s="43" t="s">
        <v>46</v>
      </c>
      <c r="C66" s="48"/>
      <c r="D66" s="48" t="str">
        <f t="shared" si="2"/>
        <v>[22C] Each Feed, Grain or Kelp Shaker Stack, Screen Set, Pelletizer System, Grain Cleaner, or Hammermill</v>
      </c>
      <c r="E66" s="44" t="s">
        <v>406</v>
      </c>
      <c r="F66" s="44" t="s">
        <v>85</v>
      </c>
      <c r="G66" s="97" t="s">
        <v>41</v>
      </c>
      <c r="H66" s="70">
        <v>605</v>
      </c>
      <c r="I66" s="90">
        <v>16</v>
      </c>
      <c r="J66" s="90">
        <v>12</v>
      </c>
      <c r="K66" s="90" t="str">
        <f>""</f>
        <v/>
      </c>
      <c r="L66" s="91" t="str">
        <f>""</f>
        <v/>
      </c>
      <c r="M66" s="91" t="str">
        <f>""</f>
        <v/>
      </c>
      <c r="N66" s="91" t="str">
        <f>""</f>
        <v/>
      </c>
      <c r="O66" s="91" t="str">
        <f>""</f>
        <v/>
      </c>
      <c r="P66" s="91">
        <v>1</v>
      </c>
      <c r="Q66" s="91" t="s">
        <v>4</v>
      </c>
      <c r="R66" s="90">
        <f t="shared" si="3"/>
        <v>1</v>
      </c>
    </row>
    <row r="67" spans="1:18" ht="12" customHeight="1" x14ac:dyDescent="0.25">
      <c r="A67" s="63">
        <v>22</v>
      </c>
      <c r="B67" s="43" t="s">
        <v>49</v>
      </c>
      <c r="C67" s="48"/>
      <c r="D67" s="48" t="str">
        <f t="shared" si="2"/>
        <v>[22D] Each Feed, Grain or Kelp Mixer System</v>
      </c>
      <c r="E67" s="44" t="s">
        <v>407</v>
      </c>
      <c r="F67" s="44" t="s">
        <v>86</v>
      </c>
      <c r="G67" s="96" t="s">
        <v>41</v>
      </c>
      <c r="H67" s="69">
        <v>873</v>
      </c>
      <c r="I67" s="90">
        <v>16</v>
      </c>
      <c r="J67" s="90">
        <v>12</v>
      </c>
      <c r="K67" s="90" t="str">
        <f>""</f>
        <v/>
      </c>
      <c r="L67" s="91" t="str">
        <f>""</f>
        <v/>
      </c>
      <c r="M67" s="91" t="str">
        <f>""</f>
        <v/>
      </c>
      <c r="N67" s="91" t="str">
        <f>""</f>
        <v/>
      </c>
      <c r="O67" s="91" t="str">
        <f>""</f>
        <v/>
      </c>
      <c r="P67" s="91">
        <v>1</v>
      </c>
      <c r="Q67" s="90" t="s">
        <v>4</v>
      </c>
      <c r="R67" s="90">
        <f t="shared" si="3"/>
        <v>1</v>
      </c>
    </row>
    <row r="68" spans="1:18" ht="11.1" customHeight="1" x14ac:dyDescent="0.25">
      <c r="A68" s="63">
        <v>22</v>
      </c>
      <c r="B68" s="43" t="s">
        <v>64</v>
      </c>
      <c r="C68" s="48"/>
      <c r="D68" s="48" t="str">
        <f t="shared" si="2"/>
        <v>[22E] Each Feed, Grain or Kelp Truck or Rail Loading System</v>
      </c>
      <c r="E68" s="44" t="s">
        <v>408</v>
      </c>
      <c r="F68" s="44" t="s">
        <v>87</v>
      </c>
      <c r="G68" s="96" t="s">
        <v>41</v>
      </c>
      <c r="H68" s="69">
        <v>586</v>
      </c>
      <c r="I68" s="90">
        <v>16</v>
      </c>
      <c r="J68" s="90">
        <v>12</v>
      </c>
      <c r="K68" s="90" t="str">
        <f>""</f>
        <v/>
      </c>
      <c r="L68" s="91" t="str">
        <f>""</f>
        <v/>
      </c>
      <c r="M68" s="91" t="str">
        <f>""</f>
        <v/>
      </c>
      <c r="N68" s="91" t="str">
        <f>""</f>
        <v/>
      </c>
      <c r="O68" s="91" t="str">
        <f>""</f>
        <v/>
      </c>
      <c r="P68" s="91">
        <v>1</v>
      </c>
      <c r="Q68" s="90" t="s">
        <v>4</v>
      </c>
      <c r="R68" s="90">
        <f t="shared" si="3"/>
        <v>1</v>
      </c>
    </row>
    <row r="69" spans="1:18" ht="23.1" customHeight="1" x14ac:dyDescent="0.25">
      <c r="A69" s="63">
        <v>22</v>
      </c>
      <c r="B69" s="43" t="s">
        <v>66</v>
      </c>
      <c r="C69" s="48"/>
      <c r="D69" s="48"/>
      <c r="E69" s="44"/>
      <c r="F69" s="44" t="s">
        <v>263</v>
      </c>
      <c r="G69" s="97"/>
      <c r="H69" s="102"/>
      <c r="I69" s="100"/>
      <c r="J69" s="100"/>
      <c r="K69" s="100"/>
      <c r="L69" s="100"/>
      <c r="M69" s="100"/>
      <c r="N69" s="100"/>
      <c r="O69" s="100"/>
      <c r="P69" s="100"/>
      <c r="Q69" s="100"/>
      <c r="R69" s="90" t="str">
        <f t="shared" si="3"/>
        <v/>
      </c>
    </row>
    <row r="70" spans="1:18" ht="29.1" customHeight="1" x14ac:dyDescent="0.25">
      <c r="A70" s="103" t="s">
        <v>275</v>
      </c>
      <c r="B70" s="42"/>
      <c r="C70" s="42"/>
      <c r="D70" s="48"/>
      <c r="E70" s="42"/>
      <c r="F70" s="42"/>
      <c r="G70" s="61"/>
      <c r="H70" s="87"/>
      <c r="I70" s="88"/>
      <c r="J70" s="88"/>
      <c r="K70" s="88"/>
      <c r="L70" s="88"/>
      <c r="M70" s="88"/>
      <c r="N70" s="88"/>
      <c r="O70" s="88"/>
      <c r="P70" s="88"/>
      <c r="Q70" s="88"/>
      <c r="R70" s="90" t="str">
        <f t="shared" si="3"/>
        <v/>
      </c>
    </row>
    <row r="71" spans="1:18" ht="24" customHeight="1" x14ac:dyDescent="0.25">
      <c r="A71" s="63">
        <v>23</v>
      </c>
      <c r="B71" s="43" t="s">
        <v>39</v>
      </c>
      <c r="C71" s="48"/>
      <c r="D71" s="48" t="str">
        <f t="shared" si="2"/>
        <v>[23A] Each Bulk Terminal Grain and Dry Chemical Receiving System (Railroad, Ship and Truck Unloading</v>
      </c>
      <c r="E71" s="44" t="s">
        <v>409</v>
      </c>
      <c r="F71" s="44" t="s">
        <v>88</v>
      </c>
      <c r="G71" s="97" t="s">
        <v>41</v>
      </c>
      <c r="H71" s="70">
        <v>726</v>
      </c>
      <c r="I71" s="90">
        <v>16</v>
      </c>
      <c r="J71" s="90">
        <v>12</v>
      </c>
      <c r="K71" s="90" t="str">
        <f>""</f>
        <v/>
      </c>
      <c r="L71" s="91" t="str">
        <f>""</f>
        <v/>
      </c>
      <c r="M71" s="91" t="str">
        <f>""</f>
        <v/>
      </c>
      <c r="N71" s="91" t="str">
        <f>""</f>
        <v/>
      </c>
      <c r="O71" s="91" t="str">
        <f>""</f>
        <v/>
      </c>
      <c r="P71" s="91">
        <v>1</v>
      </c>
      <c r="Q71" s="91" t="s">
        <v>257</v>
      </c>
      <c r="R71" s="90" t="str">
        <f t="shared" si="3"/>
        <v/>
      </c>
    </row>
    <row r="72" spans="1:18" ht="15.95" customHeight="1" x14ac:dyDescent="0.25">
      <c r="A72" s="63">
        <v>23</v>
      </c>
      <c r="B72" s="43" t="s">
        <v>43</v>
      </c>
      <c r="C72" s="48"/>
      <c r="D72" s="48" t="str">
        <f t="shared" si="2"/>
        <v>[23B] Each Bulk Terminal Grain and Dry Chemical Storage Silo System</v>
      </c>
      <c r="E72" s="44" t="s">
        <v>410</v>
      </c>
      <c r="F72" s="44" t="s">
        <v>89</v>
      </c>
      <c r="G72" s="67" t="s">
        <v>41</v>
      </c>
      <c r="H72" s="69">
        <v>387</v>
      </c>
      <c r="I72" s="90">
        <v>10</v>
      </c>
      <c r="J72" s="90">
        <v>8</v>
      </c>
      <c r="K72" s="90" t="str">
        <f>""</f>
        <v/>
      </c>
      <c r="L72" s="91" t="str">
        <f>""</f>
        <v/>
      </c>
      <c r="M72" s="91" t="str">
        <f>""</f>
        <v/>
      </c>
      <c r="N72" s="91" t="str">
        <f>""</f>
        <v/>
      </c>
      <c r="O72" s="91" t="str">
        <f>""</f>
        <v/>
      </c>
      <c r="P72" s="91">
        <v>1</v>
      </c>
      <c r="Q72" s="90" t="s">
        <v>257</v>
      </c>
      <c r="R72" s="90" t="str">
        <f t="shared" si="3"/>
        <v/>
      </c>
    </row>
    <row r="73" spans="1:18" ht="15.95" customHeight="1" x14ac:dyDescent="0.25">
      <c r="A73" s="63">
        <v>23</v>
      </c>
      <c r="B73" s="43" t="s">
        <v>46</v>
      </c>
      <c r="C73" s="48"/>
      <c r="D73" s="48" t="str">
        <f t="shared" si="2"/>
        <v>[23C] Each Bulk Terminal Grain and Dry Chemical Loadout Station System</v>
      </c>
      <c r="E73" s="44" t="s">
        <v>411</v>
      </c>
      <c r="F73" s="44" t="s">
        <v>90</v>
      </c>
      <c r="G73" s="96" t="s">
        <v>41</v>
      </c>
      <c r="H73" s="69">
        <v>442</v>
      </c>
      <c r="I73" s="90">
        <v>16</v>
      </c>
      <c r="J73" s="90">
        <v>12</v>
      </c>
      <c r="K73" s="90" t="str">
        <f>""</f>
        <v/>
      </c>
      <c r="L73" s="91" t="str">
        <f>""</f>
        <v/>
      </c>
      <c r="M73" s="91" t="str">
        <f>""</f>
        <v/>
      </c>
      <c r="N73" s="91" t="str">
        <f>""</f>
        <v/>
      </c>
      <c r="O73" s="91" t="str">
        <f>""</f>
        <v/>
      </c>
      <c r="P73" s="91">
        <v>1</v>
      </c>
      <c r="Q73" s="90" t="s">
        <v>257</v>
      </c>
      <c r="R73" s="90" t="str">
        <f t="shared" si="3"/>
        <v/>
      </c>
    </row>
    <row r="74" spans="1:18" ht="15.95" customHeight="1" x14ac:dyDescent="0.25">
      <c r="A74" s="63">
        <v>23</v>
      </c>
      <c r="B74" s="43" t="s">
        <v>49</v>
      </c>
      <c r="C74" s="48"/>
      <c r="D74" s="48" t="str">
        <f t="shared" si="2"/>
        <v>[23D] Each Bulk Terminal Grain and Dry Chemical Belt Transfer Station</v>
      </c>
      <c r="E74" s="44" t="s">
        <v>412</v>
      </c>
      <c r="F74" s="44" t="s">
        <v>91</v>
      </c>
      <c r="G74" s="96" t="s">
        <v>41</v>
      </c>
      <c r="H74" s="69">
        <v>442</v>
      </c>
      <c r="I74" s="90">
        <v>16</v>
      </c>
      <c r="J74" s="90">
        <v>12</v>
      </c>
      <c r="K74" s="90" t="str">
        <f>""</f>
        <v/>
      </c>
      <c r="L74" s="91" t="str">
        <f>""</f>
        <v/>
      </c>
      <c r="M74" s="91" t="str">
        <f>""</f>
        <v/>
      </c>
      <c r="N74" s="91" t="str">
        <f>""</f>
        <v/>
      </c>
      <c r="O74" s="91" t="str">
        <f>""</f>
        <v/>
      </c>
      <c r="P74" s="91">
        <v>1</v>
      </c>
      <c r="Q74" s="90" t="s">
        <v>257</v>
      </c>
      <c r="R74" s="90" t="str">
        <f t="shared" si="3"/>
        <v/>
      </c>
    </row>
    <row r="75" spans="1:18" ht="15.95" customHeight="1" x14ac:dyDescent="0.25">
      <c r="A75" s="63">
        <v>23</v>
      </c>
      <c r="B75" s="48" t="s">
        <v>70</v>
      </c>
      <c r="C75" s="48"/>
      <c r="D75" s="48" t="str">
        <f t="shared" si="2"/>
        <v xml:space="preserve">[23W] Each Grain Silo at beer breweries producing less than 100,000
barrels (3.1 million gallons) per year, Registered Under Rule 12 </v>
      </c>
      <c r="E75" s="47" t="s">
        <v>92</v>
      </c>
      <c r="F75" s="47" t="s">
        <v>92</v>
      </c>
      <c r="G75" s="75">
        <v>900</v>
      </c>
      <c r="H75" s="69">
        <v>409</v>
      </c>
      <c r="I75" s="90" t="s">
        <v>372</v>
      </c>
      <c r="J75" s="90">
        <f>G75/$U$9</f>
        <v>2.8571428571428572</v>
      </c>
      <c r="K75" s="90" t="str">
        <f>""</f>
        <v/>
      </c>
      <c r="L75" s="91" t="str">
        <f>""</f>
        <v/>
      </c>
      <c r="M75" s="91" t="str">
        <f>""</f>
        <v/>
      </c>
      <c r="N75" s="91" t="str">
        <f>""</f>
        <v/>
      </c>
      <c r="O75" s="91" t="str">
        <f>""</f>
        <v/>
      </c>
      <c r="P75" s="91">
        <v>1</v>
      </c>
      <c r="Q75" s="90" t="s">
        <v>257</v>
      </c>
      <c r="R75" s="90" t="str">
        <f t="shared" si="3"/>
        <v/>
      </c>
    </row>
    <row r="76" spans="1:18" ht="15.95" customHeight="1" x14ac:dyDescent="0.25">
      <c r="A76" s="61" t="s">
        <v>276</v>
      </c>
      <c r="B76" s="42"/>
      <c r="C76" s="42"/>
      <c r="D76" s="48"/>
      <c r="E76" s="42"/>
      <c r="F76" s="42"/>
      <c r="G76" s="61"/>
      <c r="H76" s="87"/>
      <c r="I76" s="88"/>
      <c r="J76" s="88"/>
      <c r="K76" s="88"/>
      <c r="L76" s="88"/>
      <c r="M76" s="88"/>
      <c r="N76" s="88"/>
      <c r="O76" s="88"/>
      <c r="P76" s="88"/>
      <c r="Q76" s="88"/>
      <c r="R76" s="90" t="str">
        <f t="shared" si="3"/>
        <v/>
      </c>
    </row>
    <row r="77" spans="1:18" ht="18" customHeight="1" x14ac:dyDescent="0.25">
      <c r="A77" s="63">
        <v>24</v>
      </c>
      <c r="B77" s="43" t="s">
        <v>46</v>
      </c>
      <c r="C77" s="48"/>
      <c r="D77" s="48" t="str">
        <f t="shared" si="2"/>
        <v>[24C] Each Dry Chemical Mixer with capacity over one-half cubic yard</v>
      </c>
      <c r="E77" s="44" t="s">
        <v>93</v>
      </c>
      <c r="F77" s="44" t="s">
        <v>93</v>
      </c>
      <c r="G77" s="96" t="s">
        <v>41</v>
      </c>
      <c r="H77" s="69">
        <v>320</v>
      </c>
      <c r="I77" s="90">
        <v>16</v>
      </c>
      <c r="J77" s="90">
        <v>12</v>
      </c>
      <c r="K77" s="90" t="str">
        <f>""</f>
        <v/>
      </c>
      <c r="L77" s="91" t="str">
        <f>""</f>
        <v/>
      </c>
      <c r="M77" s="91" t="str">
        <f>""</f>
        <v/>
      </c>
      <c r="N77" s="91" t="str">
        <f>""</f>
        <v/>
      </c>
      <c r="O77" s="91" t="str">
        <f>""</f>
        <v/>
      </c>
      <c r="P77" s="91">
        <v>1</v>
      </c>
      <c r="Q77" s="90" t="s">
        <v>257</v>
      </c>
      <c r="R77" s="90" t="str">
        <f t="shared" si="3"/>
        <v/>
      </c>
    </row>
    <row r="78" spans="1:18" ht="23.1" customHeight="1" x14ac:dyDescent="0.25">
      <c r="A78" s="61" t="s">
        <v>277</v>
      </c>
      <c r="B78" s="42"/>
      <c r="C78" s="42"/>
      <c r="D78" s="48"/>
      <c r="E78" s="42"/>
      <c r="F78" s="42"/>
      <c r="G78" s="61"/>
      <c r="H78" s="87"/>
      <c r="I78" s="88"/>
      <c r="J78" s="88"/>
      <c r="K78" s="88"/>
      <c r="L78" s="88"/>
      <c r="M78" s="88"/>
      <c r="N78" s="88"/>
      <c r="O78" s="88"/>
      <c r="P78" s="88"/>
      <c r="Q78" s="88"/>
      <c r="R78" s="90" t="str">
        <f t="shared" si="3"/>
        <v/>
      </c>
    </row>
    <row r="79" spans="1:18" ht="25.5" customHeight="1" x14ac:dyDescent="0.25">
      <c r="A79" s="63">
        <v>25</v>
      </c>
      <c r="B79" s="43" t="s">
        <v>39</v>
      </c>
      <c r="C79" s="48"/>
      <c r="D79" s="48" t="str">
        <f t="shared" si="2"/>
        <v>[25A] Each VOC Storage Tank, Located at Bulk Plants/Terminals, equipped with a vapor processor</v>
      </c>
      <c r="E79" s="44" t="s">
        <v>413</v>
      </c>
      <c r="F79" s="44" t="s">
        <v>94</v>
      </c>
      <c r="G79" s="96" t="s">
        <v>41</v>
      </c>
      <c r="H79" s="69">
        <v>348</v>
      </c>
      <c r="I79" s="90">
        <v>16</v>
      </c>
      <c r="J79" s="90">
        <v>12</v>
      </c>
      <c r="K79" s="90" t="str">
        <f>""</f>
        <v/>
      </c>
      <c r="L79" s="91" t="str">
        <f>""</f>
        <v/>
      </c>
      <c r="M79" s="91" t="str">
        <f>""</f>
        <v/>
      </c>
      <c r="N79" s="91" t="str">
        <f>""</f>
        <v/>
      </c>
      <c r="O79" s="91" t="str">
        <f>""</f>
        <v/>
      </c>
      <c r="P79" s="91">
        <v>1</v>
      </c>
      <c r="Q79" s="90" t="s">
        <v>4</v>
      </c>
      <c r="R79" s="90">
        <f t="shared" si="3"/>
        <v>1</v>
      </c>
    </row>
    <row r="80" spans="1:18" ht="12.95" customHeight="1" x14ac:dyDescent="0.25">
      <c r="A80" s="63">
        <v>25</v>
      </c>
      <c r="B80" s="43" t="s">
        <v>43</v>
      </c>
      <c r="C80" s="48"/>
      <c r="D80" s="48" t="str">
        <f t="shared" si="2"/>
        <v>[25B] Each VOC Storage Tank Rim Seal Replacement at Bulk Plants/Terminals, equipped with a vapor processor</v>
      </c>
      <c r="E80" s="44" t="s">
        <v>414</v>
      </c>
      <c r="F80" s="44" t="s">
        <v>95</v>
      </c>
      <c r="G80" s="96" t="s">
        <v>41</v>
      </c>
      <c r="H80" s="106" t="s">
        <v>48</v>
      </c>
      <c r="I80" s="90">
        <v>16</v>
      </c>
      <c r="J80" s="90">
        <v>12</v>
      </c>
      <c r="K80" s="90" t="str">
        <f>""</f>
        <v/>
      </c>
      <c r="L80" s="91" t="str">
        <f>""</f>
        <v/>
      </c>
      <c r="M80" s="91" t="str">
        <f>""</f>
        <v/>
      </c>
      <c r="N80" s="91" t="str">
        <f>""</f>
        <v/>
      </c>
      <c r="O80" s="91" t="str">
        <f>""</f>
        <v/>
      </c>
      <c r="P80" s="91">
        <v>1</v>
      </c>
      <c r="Q80" s="90" t="s">
        <v>257</v>
      </c>
      <c r="R80" s="90" t="str">
        <f t="shared" si="3"/>
        <v/>
      </c>
    </row>
    <row r="81" spans="1:18" ht="12.95" customHeight="1" x14ac:dyDescent="0.25">
      <c r="A81" s="63">
        <v>25</v>
      </c>
      <c r="B81" s="43" t="s">
        <v>46</v>
      </c>
      <c r="C81" s="48"/>
      <c r="D81" s="48" t="str">
        <f t="shared" si="2"/>
        <v>[25C] Each Truck Loading Head,  at Bulk Plants/Terminals, equipped with a vapor processor</v>
      </c>
      <c r="E81" s="44" t="s">
        <v>415</v>
      </c>
      <c r="F81" s="44" t="s">
        <v>96</v>
      </c>
      <c r="G81" s="96" t="s">
        <v>41</v>
      </c>
      <c r="H81" s="69">
        <v>1979</v>
      </c>
      <c r="I81" s="90">
        <v>16</v>
      </c>
      <c r="J81" s="90">
        <v>12</v>
      </c>
      <c r="K81" s="90" t="str">
        <f>""</f>
        <v/>
      </c>
      <c r="L81" s="91" t="str">
        <f>""</f>
        <v/>
      </c>
      <c r="M81" s="91" t="str">
        <f>""</f>
        <v/>
      </c>
      <c r="N81" s="91" t="str">
        <f>""</f>
        <v/>
      </c>
      <c r="O81" s="91" t="str">
        <f>""</f>
        <v/>
      </c>
      <c r="P81" s="91">
        <v>1</v>
      </c>
      <c r="Q81" s="90" t="s">
        <v>4</v>
      </c>
      <c r="R81" s="90">
        <f t="shared" si="3"/>
        <v>1</v>
      </c>
    </row>
    <row r="82" spans="1:18" ht="17.100000000000001" customHeight="1" x14ac:dyDescent="0.25">
      <c r="A82" s="63">
        <v>25</v>
      </c>
      <c r="B82" s="43" t="s">
        <v>49</v>
      </c>
      <c r="C82" s="48"/>
      <c r="D82" s="48" t="str">
        <f t="shared" si="2"/>
        <v>[25D] Each Vapor Processor, located at Bulk Plants/Terminals</v>
      </c>
      <c r="E82" s="44" t="s">
        <v>416</v>
      </c>
      <c r="F82" s="44" t="s">
        <v>97</v>
      </c>
      <c r="G82" s="96" t="s">
        <v>41</v>
      </c>
      <c r="H82" s="69">
        <v>505</v>
      </c>
      <c r="I82" s="90">
        <v>20</v>
      </c>
      <c r="J82" s="90">
        <v>16</v>
      </c>
      <c r="K82" s="90" t="str">
        <f>""</f>
        <v/>
      </c>
      <c r="L82" s="91" t="str">
        <f>""</f>
        <v/>
      </c>
      <c r="M82" s="91" t="str">
        <f>""</f>
        <v/>
      </c>
      <c r="N82" s="91" t="str">
        <f>""</f>
        <v/>
      </c>
      <c r="O82" s="91" t="str">
        <f>""</f>
        <v/>
      </c>
      <c r="P82" s="91">
        <v>1</v>
      </c>
      <c r="Q82" s="90" t="s">
        <v>4</v>
      </c>
      <c r="R82" s="90">
        <f t="shared" si="3"/>
        <v>1</v>
      </c>
    </row>
    <row r="83" spans="1:18" ht="12" customHeight="1" x14ac:dyDescent="0.25">
      <c r="A83" s="63">
        <v>25</v>
      </c>
      <c r="B83" s="43" t="s">
        <v>64</v>
      </c>
      <c r="C83" s="48"/>
      <c r="D83" s="48" t="str">
        <f t="shared" si="2"/>
        <v>[25E] Each VOC Storage Tank, Located at Bulk Plants/Terminals/Refuelers, no vapor processor</v>
      </c>
      <c r="E83" s="44" t="s">
        <v>417</v>
      </c>
      <c r="F83" s="44" t="s">
        <v>94</v>
      </c>
      <c r="G83" s="96" t="s">
        <v>41</v>
      </c>
      <c r="H83" s="69">
        <v>570</v>
      </c>
      <c r="I83" s="90">
        <v>16</v>
      </c>
      <c r="J83" s="90">
        <v>12</v>
      </c>
      <c r="K83" s="90" t="str">
        <f>""</f>
        <v/>
      </c>
      <c r="L83" s="91" t="str">
        <f>""</f>
        <v/>
      </c>
      <c r="M83" s="91" t="str">
        <f>""</f>
        <v/>
      </c>
      <c r="N83" s="91" t="str">
        <f>""</f>
        <v/>
      </c>
      <c r="O83" s="91" t="str">
        <f>""</f>
        <v/>
      </c>
      <c r="P83" s="91">
        <v>1</v>
      </c>
      <c r="Q83" s="90" t="s">
        <v>4</v>
      </c>
      <c r="R83" s="90">
        <f t="shared" si="3"/>
        <v>1</v>
      </c>
    </row>
    <row r="84" spans="1:18" ht="12" customHeight="1" x14ac:dyDescent="0.25">
      <c r="A84" s="63">
        <v>25</v>
      </c>
      <c r="B84" s="43" t="s">
        <v>66</v>
      </c>
      <c r="C84" s="48"/>
      <c r="D84" s="48" t="str">
        <f t="shared" si="2"/>
        <v>[25F] Each Truck Loading Head, Located at Bulk Plants/Terminals/Refuelers, no vapor processor</v>
      </c>
      <c r="E84" s="44" t="s">
        <v>418</v>
      </c>
      <c r="F84" s="44" t="s">
        <v>96</v>
      </c>
      <c r="G84" s="96" t="s">
        <v>41</v>
      </c>
      <c r="H84" s="69">
        <v>514</v>
      </c>
      <c r="I84" s="90">
        <v>16</v>
      </c>
      <c r="J84" s="90">
        <v>12</v>
      </c>
      <c r="K84" s="90" t="str">
        <f>""</f>
        <v/>
      </c>
      <c r="L84" s="91" t="str">
        <f>""</f>
        <v/>
      </c>
      <c r="M84" s="91" t="str">
        <f>""</f>
        <v/>
      </c>
      <c r="N84" s="91" t="str">
        <f>""</f>
        <v/>
      </c>
      <c r="O84" s="91" t="str">
        <f>""</f>
        <v/>
      </c>
      <c r="P84" s="91">
        <v>1</v>
      </c>
      <c r="Q84" s="90" t="s">
        <v>4</v>
      </c>
      <c r="R84" s="90">
        <f t="shared" si="3"/>
        <v>1</v>
      </c>
    </row>
    <row r="85" spans="1:18" ht="12" customHeight="1" x14ac:dyDescent="0.25">
      <c r="A85" s="63">
        <v>25</v>
      </c>
      <c r="B85" s="43" t="s">
        <v>69</v>
      </c>
      <c r="C85" s="48"/>
      <c r="D85" s="48" t="str">
        <f t="shared" si="2"/>
        <v>[25H] Each Intermediate Refueler Loading Connector, at facilities fueling intermediate refuelers</v>
      </c>
      <c r="E85" s="44" t="s">
        <v>419</v>
      </c>
      <c r="F85" s="44" t="s">
        <v>98</v>
      </c>
      <c r="G85" s="96" t="s">
        <v>41</v>
      </c>
      <c r="H85" s="69">
        <v>603</v>
      </c>
      <c r="I85" s="90">
        <v>16</v>
      </c>
      <c r="J85" s="90">
        <v>12</v>
      </c>
      <c r="K85" s="90" t="str">
        <f>""</f>
        <v/>
      </c>
      <c r="L85" s="91" t="str">
        <f>""</f>
        <v/>
      </c>
      <c r="M85" s="91" t="str">
        <f>""</f>
        <v/>
      </c>
      <c r="N85" s="91" t="str">
        <f>""</f>
        <v/>
      </c>
      <c r="O85" s="91" t="str">
        <f>""</f>
        <v/>
      </c>
      <c r="P85" s="91">
        <v>1</v>
      </c>
      <c r="Q85" s="90" t="s">
        <v>4</v>
      </c>
      <c r="R85" s="90">
        <f t="shared" si="3"/>
        <v>1</v>
      </c>
    </row>
    <row r="86" spans="1:18" ht="23.1" customHeight="1" x14ac:dyDescent="0.25">
      <c r="A86" s="61" t="s">
        <v>278</v>
      </c>
      <c r="B86" s="42"/>
      <c r="C86" s="42"/>
      <c r="D86" s="48"/>
      <c r="E86" s="42"/>
      <c r="F86" s="42"/>
      <c r="G86" s="61"/>
      <c r="H86" s="87"/>
      <c r="I86" s="88"/>
      <c r="J86" s="88"/>
      <c r="K86" s="88"/>
      <c r="L86" s="88"/>
      <c r="M86" s="88"/>
      <c r="N86" s="88"/>
      <c r="O86" s="88"/>
      <c r="P86" s="88"/>
      <c r="Q86" s="88"/>
      <c r="R86" s="90" t="str">
        <f t="shared" si="3"/>
        <v/>
      </c>
    </row>
    <row r="87" spans="1:18" ht="23.1" customHeight="1" x14ac:dyDescent="0.25">
      <c r="A87" s="63">
        <v>26</v>
      </c>
      <c r="B87" s="43" t="s">
        <v>39</v>
      </c>
      <c r="C87" s="48"/>
      <c r="D87" s="48" t="str">
        <f t="shared" si="2"/>
        <v>[26A] Gas Stations where Phase I and Phase II controls are required (includes Phase I fee)</v>
      </c>
      <c r="E87" s="44" t="s">
        <v>420</v>
      </c>
      <c r="F87" s="44" t="s">
        <v>99</v>
      </c>
      <c r="G87" s="68">
        <v>4141</v>
      </c>
      <c r="H87" s="73">
        <v>258</v>
      </c>
      <c r="I87" s="91" t="s">
        <v>372</v>
      </c>
      <c r="J87" s="90">
        <f>G87/$U$9</f>
        <v>13.146031746031746</v>
      </c>
      <c r="K87" s="90" t="str">
        <f>""</f>
        <v/>
      </c>
      <c r="L87" s="91" t="str">
        <f>""</f>
        <v/>
      </c>
      <c r="M87" s="91" t="str">
        <f>""</f>
        <v/>
      </c>
      <c r="N87" s="91" t="str">
        <f>""</f>
        <v/>
      </c>
      <c r="O87" s="91" t="str">
        <f>""</f>
        <v/>
      </c>
      <c r="P87" s="91">
        <v>1</v>
      </c>
      <c r="Q87" s="91" t="s">
        <v>257</v>
      </c>
      <c r="R87" s="90" t="str">
        <f t="shared" si="3"/>
        <v/>
      </c>
    </row>
    <row r="88" spans="1:18" ht="12" customHeight="1" x14ac:dyDescent="0.25">
      <c r="A88" s="63">
        <v>26</v>
      </c>
      <c r="B88" s="43" t="s">
        <v>43</v>
      </c>
      <c r="C88" s="48"/>
      <c r="D88" s="48"/>
      <c r="E88" s="44" t="s">
        <v>65</v>
      </c>
      <c r="F88" s="44" t="s">
        <v>65</v>
      </c>
      <c r="G88" s="45"/>
      <c r="H88" s="98"/>
      <c r="I88" s="99"/>
      <c r="J88" s="99"/>
      <c r="K88" s="99"/>
      <c r="L88" s="99"/>
      <c r="M88" s="99"/>
      <c r="N88" s="99"/>
      <c r="O88" s="99"/>
      <c r="P88" s="99"/>
      <c r="Q88" s="99"/>
      <c r="R88" s="90" t="str">
        <f t="shared" si="3"/>
        <v/>
      </c>
    </row>
    <row r="89" spans="1:18" ht="23.1" customHeight="1" x14ac:dyDescent="0.25">
      <c r="A89" s="63">
        <v>26</v>
      </c>
      <c r="B89" s="43" t="s">
        <v>46</v>
      </c>
      <c r="C89" s="48"/>
      <c r="D89" s="48" t="str">
        <f t="shared" si="2"/>
        <v>[26C] Gas Stations where only Phase I controls are required (includes tank replacement), Including E85 dispensing</v>
      </c>
      <c r="E89" s="44" t="s">
        <v>421</v>
      </c>
      <c r="F89" s="44" t="s">
        <v>100</v>
      </c>
      <c r="G89" s="68">
        <v>3849</v>
      </c>
      <c r="H89" s="70">
        <v>750</v>
      </c>
      <c r="I89" s="91" t="s">
        <v>372</v>
      </c>
      <c r="J89" s="90">
        <f>G89/$U$9</f>
        <v>12.219047619047618</v>
      </c>
      <c r="K89" s="90" t="str">
        <f>""</f>
        <v/>
      </c>
      <c r="L89" s="91" t="str">
        <f>""</f>
        <v/>
      </c>
      <c r="M89" s="91" t="str">
        <f>""</f>
        <v/>
      </c>
      <c r="N89" s="91" t="str">
        <f>""</f>
        <v/>
      </c>
      <c r="O89" s="91" t="str">
        <f>""</f>
        <v/>
      </c>
      <c r="P89" s="91">
        <v>1</v>
      </c>
      <c r="Q89" s="91" t="s">
        <v>257</v>
      </c>
      <c r="R89" s="90" t="str">
        <f t="shared" si="3"/>
        <v/>
      </c>
    </row>
    <row r="90" spans="1:18" ht="11.1" customHeight="1" x14ac:dyDescent="0.25">
      <c r="A90" s="63">
        <v>26</v>
      </c>
      <c r="B90" s="43" t="s">
        <v>49</v>
      </c>
      <c r="C90" s="48"/>
      <c r="D90" s="48" t="str">
        <f t="shared" si="2"/>
        <v>[26D] RESERVED</v>
      </c>
      <c r="E90" s="44" t="s">
        <v>65</v>
      </c>
      <c r="F90" s="44" t="s">
        <v>65</v>
      </c>
      <c r="G90" s="45"/>
      <c r="H90" s="98"/>
      <c r="I90" s="99"/>
      <c r="J90" s="99"/>
      <c r="K90" s="99"/>
      <c r="L90" s="99"/>
      <c r="M90" s="99"/>
      <c r="N90" s="99"/>
      <c r="O90" s="99"/>
      <c r="P90" s="99"/>
      <c r="Q90" s="99"/>
      <c r="R90" s="90" t="str">
        <f t="shared" si="3"/>
        <v/>
      </c>
    </row>
    <row r="91" spans="1:18" ht="35.1" customHeight="1" x14ac:dyDescent="0.25">
      <c r="A91" s="63">
        <v>26</v>
      </c>
      <c r="B91" s="43" t="s">
        <v>64</v>
      </c>
      <c r="C91" s="48"/>
      <c r="D91" s="48" t="str">
        <f t="shared" si="2"/>
        <v>[26E] Non-retail gas dispensing with 260-550 gallon tanks and no other non-bulk gasoline dispensing permits</v>
      </c>
      <c r="E91" s="44" t="s">
        <v>422</v>
      </c>
      <c r="F91" s="45" t="s">
        <v>279</v>
      </c>
      <c r="G91" s="68">
        <v>1198</v>
      </c>
      <c r="H91" s="70">
        <v>656</v>
      </c>
      <c r="I91" s="91" t="s">
        <v>372</v>
      </c>
      <c r="J91" s="90">
        <f>G91/$U$9</f>
        <v>3.803174603174603</v>
      </c>
      <c r="K91" s="90" t="str">
        <f>""</f>
        <v/>
      </c>
      <c r="L91" s="91" t="str">
        <f>""</f>
        <v/>
      </c>
      <c r="M91" s="91" t="str">
        <f>""</f>
        <v/>
      </c>
      <c r="N91" s="91" t="str">
        <f>""</f>
        <v/>
      </c>
      <c r="O91" s="91" t="str">
        <f>""</f>
        <v/>
      </c>
      <c r="P91" s="91">
        <v>1</v>
      </c>
      <c r="Q91" s="91" t="s">
        <v>257</v>
      </c>
      <c r="R91" s="90" t="str">
        <f t="shared" si="3"/>
        <v/>
      </c>
    </row>
    <row r="92" spans="1:18" ht="39" customHeight="1" x14ac:dyDescent="0.25">
      <c r="A92" s="61" t="s">
        <v>280</v>
      </c>
      <c r="B92" s="42"/>
      <c r="C92" s="42"/>
      <c r="D92" s="48"/>
      <c r="E92" s="42"/>
      <c r="F92" s="42"/>
      <c r="G92" s="61"/>
      <c r="H92" s="87"/>
      <c r="I92" s="88"/>
      <c r="J92" s="88"/>
      <c r="K92" s="88"/>
      <c r="L92" s="88"/>
      <c r="M92" s="88"/>
      <c r="N92" s="88"/>
      <c r="O92" s="88"/>
      <c r="P92" s="88"/>
      <c r="Q92" s="88"/>
      <c r="R92" s="90" t="str">
        <f t="shared" si="3"/>
        <v/>
      </c>
    </row>
    <row r="93" spans="1:18" ht="26.1" customHeight="1" x14ac:dyDescent="0.25">
      <c r="A93" s="63">
        <v>27</v>
      </c>
      <c r="B93" s="43" t="s">
        <v>39</v>
      </c>
      <c r="C93" s="48"/>
      <c r="D93" s="48" t="str">
        <f t="shared" si="2"/>
        <v>[27A] First Permit to Operate for Marine Coating at facilities emitting ≤ 10 tons/year of VOC from Marine Coating Ops</v>
      </c>
      <c r="E93" s="44" t="s">
        <v>423</v>
      </c>
      <c r="F93" s="45" t="s">
        <v>101</v>
      </c>
      <c r="G93" s="97" t="s">
        <v>41</v>
      </c>
      <c r="H93" s="70">
        <v>1040</v>
      </c>
      <c r="I93" s="91">
        <v>10</v>
      </c>
      <c r="J93" s="91">
        <v>10</v>
      </c>
      <c r="K93" s="90" t="str">
        <f>""</f>
        <v/>
      </c>
      <c r="L93" s="91" t="str">
        <f>""</f>
        <v/>
      </c>
      <c r="M93" s="91" t="str">
        <f>""</f>
        <v/>
      </c>
      <c r="N93" s="91" t="str">
        <f>""</f>
        <v/>
      </c>
      <c r="O93" s="91" t="str">
        <f>""</f>
        <v/>
      </c>
      <c r="P93" s="91">
        <v>1</v>
      </c>
      <c r="Q93" s="91" t="s">
        <v>4</v>
      </c>
      <c r="R93" s="90">
        <f t="shared" si="3"/>
        <v>1</v>
      </c>
    </row>
    <row r="94" spans="1:18" ht="41.1" customHeight="1" x14ac:dyDescent="0.25">
      <c r="A94" s="63">
        <v>27</v>
      </c>
      <c r="B94" s="43" t="s">
        <v>102</v>
      </c>
      <c r="C94" s="48"/>
      <c r="D94" s="48" t="str">
        <f t="shared" si="2"/>
        <v>[27T] First Permit to Operate for Marine Coating at facilities where combined coating/solvent use is &lt; 3 gallons/day and &lt;100 gallons/year</v>
      </c>
      <c r="E94" s="44" t="s">
        <v>424</v>
      </c>
      <c r="F94" s="44" t="s">
        <v>103</v>
      </c>
      <c r="G94" s="97" t="s">
        <v>41</v>
      </c>
      <c r="H94" s="70">
        <v>695</v>
      </c>
      <c r="I94" s="91">
        <f>I93</f>
        <v>10</v>
      </c>
      <c r="J94" s="91">
        <v>10</v>
      </c>
      <c r="K94" s="90" t="str">
        <f>""</f>
        <v/>
      </c>
      <c r="L94" s="91" t="str">
        <f>""</f>
        <v/>
      </c>
      <c r="M94" s="91" t="str">
        <f>""</f>
        <v/>
      </c>
      <c r="N94" s="91" t="str">
        <f>""</f>
        <v/>
      </c>
      <c r="O94" s="91" t="str">
        <f>""</f>
        <v/>
      </c>
      <c r="P94" s="91">
        <v>1</v>
      </c>
      <c r="Q94" s="91" t="s">
        <v>4</v>
      </c>
      <c r="R94" s="90">
        <f t="shared" si="3"/>
        <v>1</v>
      </c>
    </row>
    <row r="95" spans="1:18" ht="45.95" customHeight="1" x14ac:dyDescent="0.25">
      <c r="A95" s="63">
        <v>27</v>
      </c>
      <c r="B95" s="43" t="s">
        <v>49</v>
      </c>
      <c r="C95" s="48"/>
      <c r="D95" s="48" t="str">
        <f t="shared" si="2"/>
        <v>[27D] Each Surface Coating Application Station w/o control equipment and not covered by other fee schedules at facilities using &gt; 1 gallon/day of surface coatings and emitting ≤ 5 tons/year of VOC from equipment in this equipment category</v>
      </c>
      <c r="E95" s="44" t="s">
        <v>427</v>
      </c>
      <c r="F95" s="45" t="s">
        <v>104</v>
      </c>
      <c r="G95" s="97" t="s">
        <v>41</v>
      </c>
      <c r="H95" s="70">
        <v>1163</v>
      </c>
      <c r="I95" s="91">
        <v>12</v>
      </c>
      <c r="J95" s="91">
        <v>8</v>
      </c>
      <c r="K95" s="90" t="str">
        <f>""</f>
        <v/>
      </c>
      <c r="L95" s="91" t="str">
        <f>""</f>
        <v/>
      </c>
      <c r="M95" s="91" t="str">
        <f>""</f>
        <v/>
      </c>
      <c r="N95" s="91" t="str">
        <f>""</f>
        <v/>
      </c>
      <c r="O95" s="91" t="str">
        <f>""</f>
        <v/>
      </c>
      <c r="P95" s="91">
        <v>1</v>
      </c>
      <c r="Q95" s="91" t="s">
        <v>4</v>
      </c>
      <c r="R95" s="90">
        <f t="shared" si="3"/>
        <v>1</v>
      </c>
    </row>
    <row r="96" spans="1:18" ht="42" customHeight="1" x14ac:dyDescent="0.25">
      <c r="A96" s="63">
        <v>27</v>
      </c>
      <c r="B96" s="43" t="s">
        <v>64</v>
      </c>
      <c r="C96" s="48"/>
      <c r="D96" s="48" t="str">
        <f t="shared" si="2"/>
        <v>[27E] Each Surface Coating Application Station w/o control equipment and not covered by other fee schedules at facilities emitting &gt; 5 tons/year of VOC from from equipment in this equipment category</v>
      </c>
      <c r="E96" s="44" t="s">
        <v>426</v>
      </c>
      <c r="F96" s="44" t="s">
        <v>105</v>
      </c>
      <c r="G96" s="97" t="s">
        <v>41</v>
      </c>
      <c r="H96" s="70">
        <v>1440</v>
      </c>
      <c r="I96" s="91">
        <v>12</v>
      </c>
      <c r="J96" s="91">
        <v>8</v>
      </c>
      <c r="K96" s="90" t="str">
        <f>""</f>
        <v/>
      </c>
      <c r="L96" s="91" t="str">
        <f>""</f>
        <v/>
      </c>
      <c r="M96" s="91" t="str">
        <f>""</f>
        <v/>
      </c>
      <c r="N96" s="91" t="str">
        <f>""</f>
        <v/>
      </c>
      <c r="O96" s="91" t="str">
        <f>""</f>
        <v/>
      </c>
      <c r="P96" s="91">
        <v>5</v>
      </c>
      <c r="Q96" s="91" t="s">
        <v>4</v>
      </c>
      <c r="R96" s="90">
        <f t="shared" si="3"/>
        <v>1</v>
      </c>
    </row>
    <row r="97" spans="1:18" ht="39" customHeight="1" x14ac:dyDescent="0.25">
      <c r="A97" s="63">
        <v>27</v>
      </c>
      <c r="B97" s="43" t="s">
        <v>66</v>
      </c>
      <c r="C97" s="48"/>
      <c r="D97" s="48" t="str">
        <f t="shared" si="2"/>
        <v>[27F] Each Fiberglass, Plastic or Foam Product Process Line at facilities emitting ≤10 tons/year of VOC from fiberglass, plastic or foam products operations</v>
      </c>
      <c r="E97" s="45" t="s">
        <v>106</v>
      </c>
      <c r="F97" s="45" t="s">
        <v>106</v>
      </c>
      <c r="G97" s="68" t="s">
        <v>41</v>
      </c>
      <c r="H97" s="70">
        <v>1267</v>
      </c>
      <c r="I97" s="91">
        <v>12</v>
      </c>
      <c r="J97" s="91">
        <v>8</v>
      </c>
      <c r="K97" s="90" t="str">
        <f>""</f>
        <v/>
      </c>
      <c r="L97" s="91" t="str">
        <f>""</f>
        <v/>
      </c>
      <c r="M97" s="91" t="str">
        <f>""</f>
        <v/>
      </c>
      <c r="N97" s="91" t="str">
        <f>""</f>
        <v/>
      </c>
      <c r="O97" s="91" t="str">
        <f>""</f>
        <v/>
      </c>
      <c r="P97" s="91">
        <v>1</v>
      </c>
      <c r="Q97" s="91" t="s">
        <v>4</v>
      </c>
      <c r="R97" s="90">
        <f t="shared" si="3"/>
        <v>1</v>
      </c>
    </row>
    <row r="98" spans="1:18" ht="23.1" customHeight="1" x14ac:dyDescent="0.25">
      <c r="A98" s="63">
        <v>27</v>
      </c>
      <c r="B98" s="43" t="s">
        <v>107</v>
      </c>
      <c r="C98" s="48"/>
      <c r="D98" s="48" t="str">
        <f t="shared" si="2"/>
        <v>[27I] Each Surface Coating Application Station requiring Control Equipment</v>
      </c>
      <c r="E98" s="44" t="s">
        <v>108</v>
      </c>
      <c r="F98" s="44" t="s">
        <v>108</v>
      </c>
      <c r="G98" s="97" t="s">
        <v>41</v>
      </c>
      <c r="H98" s="70">
        <v>1099</v>
      </c>
      <c r="I98" s="91">
        <v>24</v>
      </c>
      <c r="J98" s="91">
        <v>20</v>
      </c>
      <c r="K98" s="91"/>
      <c r="L98" s="91" t="str">
        <f>""</f>
        <v/>
      </c>
      <c r="M98" s="91" t="str">
        <f>""</f>
        <v/>
      </c>
      <c r="N98" s="91" t="str">
        <f>""</f>
        <v/>
      </c>
      <c r="O98" s="91" t="str">
        <f>""</f>
        <v/>
      </c>
      <c r="P98" s="91">
        <v>5</v>
      </c>
      <c r="Q98" s="91" t="s">
        <v>4</v>
      </c>
      <c r="R98" s="90">
        <f t="shared" si="3"/>
        <v>1</v>
      </c>
    </row>
    <row r="99" spans="1:18" ht="35.1" customHeight="1" x14ac:dyDescent="0.25">
      <c r="A99" s="63">
        <v>27</v>
      </c>
      <c r="B99" s="43" t="s">
        <v>109</v>
      </c>
      <c r="C99" s="48"/>
      <c r="D99" s="48" t="str">
        <f t="shared" si="2"/>
        <v>[27J] Each Metal and/or Aerospace Surface Coating Application Station at facilities emitting ≤ 5 tons/year of VOC from equipment in this equipment category</v>
      </c>
      <c r="E99" s="44" t="s">
        <v>425</v>
      </c>
      <c r="F99" s="45" t="s">
        <v>110</v>
      </c>
      <c r="G99" s="97" t="s">
        <v>41</v>
      </c>
      <c r="H99" s="70">
        <v>1198</v>
      </c>
      <c r="I99" s="91">
        <v>20</v>
      </c>
      <c r="J99" s="90">
        <v>20</v>
      </c>
      <c r="K99" s="90" t="str">
        <f>""</f>
        <v/>
      </c>
      <c r="L99" s="91" t="str">
        <f>""</f>
        <v/>
      </c>
      <c r="M99" s="91" t="str">
        <f>""</f>
        <v/>
      </c>
      <c r="N99" s="91" t="str">
        <f>""</f>
        <v/>
      </c>
      <c r="O99" s="91" t="str">
        <f>""</f>
        <v/>
      </c>
      <c r="P99" s="91">
        <v>1</v>
      </c>
      <c r="Q99" s="91" t="s">
        <v>4</v>
      </c>
      <c r="R99" s="90">
        <f t="shared" si="3"/>
        <v>1</v>
      </c>
    </row>
    <row r="100" spans="1:18" ht="39.950000000000003" customHeight="1" x14ac:dyDescent="0.25">
      <c r="A100" s="63">
        <v>27</v>
      </c>
      <c r="B100" s="43" t="s">
        <v>111</v>
      </c>
      <c r="C100" s="48"/>
      <c r="D100" s="48" t="str">
        <f t="shared" si="2"/>
        <v>[27K] Each Metal and/or Aerospace Coating Application Station w/o Control Equipment at facilities emitting &gt; 5 tons/year of VOC from equipment in this fee schedule</v>
      </c>
      <c r="E100" s="44" t="s">
        <v>428</v>
      </c>
      <c r="F100" s="44" t="s">
        <v>112</v>
      </c>
      <c r="G100" s="97" t="s">
        <v>41</v>
      </c>
      <c r="H100" s="70">
        <v>1127</v>
      </c>
      <c r="I100" s="91">
        <v>30</v>
      </c>
      <c r="J100" s="91">
        <v>20</v>
      </c>
      <c r="K100" s="90" t="str">
        <f>""</f>
        <v/>
      </c>
      <c r="L100" s="91" t="str">
        <f>""</f>
        <v/>
      </c>
      <c r="M100" s="91" t="str">
        <f>""</f>
        <v/>
      </c>
      <c r="N100" s="91" t="str">
        <f>""</f>
        <v/>
      </c>
      <c r="O100" s="91" t="str">
        <f>""</f>
        <v/>
      </c>
      <c r="P100" s="91">
        <v>5</v>
      </c>
      <c r="Q100" s="91" t="s">
        <v>4</v>
      </c>
      <c r="R100" s="90">
        <f t="shared" si="3"/>
        <v>1</v>
      </c>
    </row>
    <row r="101" spans="1:18" ht="54" customHeight="1" x14ac:dyDescent="0.25">
      <c r="A101" s="63">
        <v>27</v>
      </c>
      <c r="B101" s="43" t="s">
        <v>113</v>
      </c>
      <c r="C101" s="48"/>
      <c r="D101" s="48" t="str">
        <f t="shared" si="2"/>
        <v>[27L] Each Wood Products Coating Application Station w/o Control Equipment at facilities using &gt; 500 gallons/year of wood products coatings</v>
      </c>
      <c r="E101" s="44" t="s">
        <v>114</v>
      </c>
      <c r="F101" s="44" t="s">
        <v>114</v>
      </c>
      <c r="G101" s="97" t="s">
        <v>41</v>
      </c>
      <c r="H101" s="70">
        <v>1139</v>
      </c>
      <c r="I101" s="91">
        <v>18</v>
      </c>
      <c r="J101" s="91">
        <v>14</v>
      </c>
      <c r="K101" s="90" t="str">
        <f>""</f>
        <v/>
      </c>
      <c r="L101" s="91" t="str">
        <f>""</f>
        <v/>
      </c>
      <c r="M101" s="91" t="str">
        <f>""</f>
        <v/>
      </c>
      <c r="N101" s="91" t="str">
        <f>""</f>
        <v/>
      </c>
      <c r="O101" s="91" t="str">
        <f>""</f>
        <v/>
      </c>
      <c r="P101" s="91">
        <v>1</v>
      </c>
      <c r="Q101" s="91" t="s">
        <v>4</v>
      </c>
      <c r="R101" s="90">
        <f t="shared" si="3"/>
        <v>1</v>
      </c>
    </row>
    <row r="102" spans="1:18" ht="32.1" customHeight="1" x14ac:dyDescent="0.25">
      <c r="A102" s="63">
        <v>27</v>
      </c>
      <c r="B102" s="43" t="s">
        <v>116</v>
      </c>
      <c r="C102" s="48"/>
      <c r="D102" s="48" t="str">
        <f t="shared" si="2"/>
        <v>[27N] Each Press or Operation at a Printing or Graphic Arts facility subject to Rule 67.16</v>
      </c>
      <c r="E102" s="44" t="s">
        <v>117</v>
      </c>
      <c r="F102" s="44" t="s">
        <v>117</v>
      </c>
      <c r="G102" s="97" t="s">
        <v>41</v>
      </c>
      <c r="H102" s="69">
        <v>656</v>
      </c>
      <c r="I102" s="90">
        <v>10</v>
      </c>
      <c r="J102" s="90">
        <v>8</v>
      </c>
      <c r="K102" s="90" t="str">
        <f>""</f>
        <v/>
      </c>
      <c r="L102" s="91" t="str">
        <f>""</f>
        <v/>
      </c>
      <c r="M102" s="91" t="str">
        <f>""</f>
        <v/>
      </c>
      <c r="N102" s="91" t="str">
        <f>""</f>
        <v/>
      </c>
      <c r="O102" s="91" t="str">
        <f>""</f>
        <v/>
      </c>
      <c r="P102" s="91">
        <v>1</v>
      </c>
      <c r="Q102" s="90" t="s">
        <v>4</v>
      </c>
      <c r="R102" s="90">
        <f t="shared" si="3"/>
        <v>1</v>
      </c>
    </row>
    <row r="103" spans="1:18" ht="18" customHeight="1" x14ac:dyDescent="0.25">
      <c r="A103" s="63">
        <v>27</v>
      </c>
      <c r="B103" s="43" t="s">
        <v>118</v>
      </c>
      <c r="C103" s="48"/>
      <c r="D103" s="48" t="str">
        <f t="shared" si="2"/>
        <v>[27O] Each Fiberglass, Plastic or Foam Product Process Line Using Only Polyester Resin</v>
      </c>
      <c r="E103" s="44" t="s">
        <v>119</v>
      </c>
      <c r="F103" s="44" t="s">
        <v>119</v>
      </c>
      <c r="G103" s="108" t="s">
        <v>41</v>
      </c>
      <c r="H103" s="71">
        <v>872</v>
      </c>
      <c r="I103" s="109">
        <v>20</v>
      </c>
      <c r="J103" s="109">
        <v>16</v>
      </c>
      <c r="K103" s="90" t="str">
        <f>""</f>
        <v/>
      </c>
      <c r="L103" s="91" t="str">
        <f>""</f>
        <v/>
      </c>
      <c r="M103" s="91" t="str">
        <f>""</f>
        <v/>
      </c>
      <c r="N103" s="91" t="str">
        <f>""</f>
        <v/>
      </c>
      <c r="O103" s="91" t="str">
        <f>""</f>
        <v/>
      </c>
      <c r="P103" s="91">
        <v>1</v>
      </c>
      <c r="Q103" s="90" t="s">
        <v>4</v>
      </c>
      <c r="R103" s="90">
        <f t="shared" si="3"/>
        <v>1</v>
      </c>
    </row>
    <row r="104" spans="1:18" ht="44.1" customHeight="1" x14ac:dyDescent="0.25">
      <c r="A104" s="63">
        <v>27</v>
      </c>
      <c r="B104" s="43" t="s">
        <v>120</v>
      </c>
      <c r="C104" s="48"/>
      <c r="D104" s="48" t="str">
        <f t="shared" ref="D104:D162" si="4">_xlfn.CONCAT("[",A104,B104,"]"," ",E104)</f>
        <v>[27P] Each Surface Coating Application Station w/o control equipment (except automotive painting) where combined coating, and cleaning solvent usage is &lt; 1 gallon/day or &lt; 50 gallons/year</v>
      </c>
      <c r="E104" s="44" t="s">
        <v>121</v>
      </c>
      <c r="F104" s="44" t="s">
        <v>121</v>
      </c>
      <c r="G104" s="97" t="s">
        <v>41</v>
      </c>
      <c r="H104" s="70">
        <v>762</v>
      </c>
      <c r="I104" s="91">
        <v>12</v>
      </c>
      <c r="J104" s="91">
        <v>12</v>
      </c>
      <c r="K104" s="90" t="str">
        <f>""</f>
        <v/>
      </c>
      <c r="L104" s="91" t="str">
        <f>""</f>
        <v/>
      </c>
      <c r="M104" s="91" t="str">
        <f>""</f>
        <v/>
      </c>
      <c r="N104" s="91" t="str">
        <f>""</f>
        <v/>
      </c>
      <c r="O104" s="91" t="str">
        <f>""</f>
        <v/>
      </c>
      <c r="P104" s="91">
        <v>1</v>
      </c>
      <c r="Q104" s="91" t="s">
        <v>4</v>
      </c>
      <c r="R104" s="90">
        <f t="shared" ref="R104:R163" si="5">IF(Q104="Yes", 1, "")</f>
        <v>1</v>
      </c>
    </row>
    <row r="105" spans="1:18" ht="33.950000000000003" customHeight="1" x14ac:dyDescent="0.25">
      <c r="A105" s="63">
        <v>27</v>
      </c>
      <c r="B105" s="43" t="s">
        <v>122</v>
      </c>
      <c r="C105" s="48"/>
      <c r="D105" s="48" t="str">
        <f t="shared" si="4"/>
        <v>[27Q] Each Wood Products Coating Application Station of coatings and stripper w/o control equipment at a facility using &lt; 500 gallons/year for Wood Products Coating Operations</v>
      </c>
      <c r="E105" s="44" t="s">
        <v>123</v>
      </c>
      <c r="F105" s="44" t="s">
        <v>123</v>
      </c>
      <c r="G105" s="68" t="s">
        <v>41</v>
      </c>
      <c r="H105" s="70">
        <v>967</v>
      </c>
      <c r="I105" s="91">
        <v>16</v>
      </c>
      <c r="J105" s="91">
        <v>12</v>
      </c>
      <c r="K105" s="90" t="str">
        <f>""</f>
        <v/>
      </c>
      <c r="L105" s="91" t="str">
        <f>""</f>
        <v/>
      </c>
      <c r="M105" s="91" t="str">
        <f>""</f>
        <v/>
      </c>
      <c r="N105" s="91" t="str">
        <f>""</f>
        <v/>
      </c>
      <c r="O105" s="91" t="str">
        <f>""</f>
        <v/>
      </c>
      <c r="P105" s="91">
        <v>1</v>
      </c>
      <c r="Q105" s="91" t="s">
        <v>4</v>
      </c>
      <c r="R105" s="90">
        <f t="shared" si="5"/>
        <v>1</v>
      </c>
    </row>
    <row r="106" spans="1:18" ht="23.1" customHeight="1" x14ac:dyDescent="0.25">
      <c r="A106" s="63">
        <v>27</v>
      </c>
      <c r="B106" s="43" t="s">
        <v>124</v>
      </c>
      <c r="C106" s="48"/>
      <c r="D106" s="48" t="str">
        <f t="shared" si="4"/>
        <v>[27R] Each autobody shop/facility applying &lt; 5 gallons/day of automotive coating subject to Rule 67.20 (as applied or sprayed)</v>
      </c>
      <c r="E106" s="44" t="s">
        <v>429</v>
      </c>
      <c r="F106" s="44" t="s">
        <v>125</v>
      </c>
      <c r="G106" s="68">
        <v>4920</v>
      </c>
      <c r="H106" s="70">
        <v>1406</v>
      </c>
      <c r="I106" s="91">
        <v>15</v>
      </c>
      <c r="J106" s="91">
        <v>12</v>
      </c>
      <c r="K106" s="90" t="str">
        <f>""</f>
        <v/>
      </c>
      <c r="L106" s="91" t="str">
        <f>""</f>
        <v/>
      </c>
      <c r="M106" s="91" t="str">
        <f>""</f>
        <v/>
      </c>
      <c r="N106" s="91" t="str">
        <f>""</f>
        <v/>
      </c>
      <c r="O106" s="91" t="str">
        <f>""</f>
        <v/>
      </c>
      <c r="P106" s="91">
        <v>1</v>
      </c>
      <c r="Q106" s="91" t="s">
        <v>257</v>
      </c>
      <c r="R106" s="90" t="str">
        <f t="shared" si="5"/>
        <v/>
      </c>
    </row>
    <row r="107" spans="1:18" ht="36" customHeight="1" x14ac:dyDescent="0.25">
      <c r="A107" s="63">
        <v>27</v>
      </c>
      <c r="B107" s="43" t="s">
        <v>126</v>
      </c>
      <c r="C107" s="48"/>
      <c r="D107" s="48" t="str">
        <f t="shared" si="4"/>
        <v>[27U] Each Adhesive Materials Application Station w/o control equipment at facilities emitting ≤ 5 tons/year of VOC from equipment in this fee schedule</v>
      </c>
      <c r="E107" s="45" t="s">
        <v>127</v>
      </c>
      <c r="F107" s="45" t="s">
        <v>127</v>
      </c>
      <c r="G107" s="97" t="s">
        <v>41</v>
      </c>
      <c r="H107" s="70">
        <v>825</v>
      </c>
      <c r="I107" s="91">
        <v>10</v>
      </c>
      <c r="J107" s="91">
        <v>8</v>
      </c>
      <c r="K107" s="90" t="str">
        <f>""</f>
        <v/>
      </c>
      <c r="L107" s="91" t="str">
        <f>""</f>
        <v/>
      </c>
      <c r="M107" s="91" t="str">
        <f>""</f>
        <v/>
      </c>
      <c r="N107" s="91" t="str">
        <f>""</f>
        <v/>
      </c>
      <c r="O107" s="91" t="str">
        <f>""</f>
        <v/>
      </c>
      <c r="P107" s="91">
        <v>1</v>
      </c>
      <c r="Q107" s="91" t="s">
        <v>4</v>
      </c>
      <c r="R107" s="90">
        <f t="shared" si="5"/>
        <v>1</v>
      </c>
    </row>
    <row r="108" spans="1:18" ht="35.1" customHeight="1" x14ac:dyDescent="0.25">
      <c r="A108" s="63">
        <v>27</v>
      </c>
      <c r="B108" s="43" t="s">
        <v>128</v>
      </c>
      <c r="C108" s="48"/>
      <c r="D108" s="48" t="str">
        <f t="shared" si="4"/>
        <v>[27V] Each Adhesive Materials Application Station w/o control equipment at facilities emitting &gt; 5 tons/year of VOC from equipment in this fee schedule</v>
      </c>
      <c r="E108" s="44" t="s">
        <v>129</v>
      </c>
      <c r="F108" s="44" t="s">
        <v>129</v>
      </c>
      <c r="G108" s="97" t="s">
        <v>41</v>
      </c>
      <c r="H108" s="70">
        <v>1289</v>
      </c>
      <c r="I108" s="91">
        <v>16</v>
      </c>
      <c r="J108" s="91">
        <v>12</v>
      </c>
      <c r="K108" s="90" t="str">
        <f>""</f>
        <v/>
      </c>
      <c r="L108" s="91" t="str">
        <f>""</f>
        <v/>
      </c>
      <c r="M108" s="91" t="str">
        <f>""</f>
        <v/>
      </c>
      <c r="N108" s="91" t="str">
        <f>""</f>
        <v/>
      </c>
      <c r="O108" s="91" t="str">
        <f>""</f>
        <v/>
      </c>
      <c r="P108" s="91">
        <v>5</v>
      </c>
      <c r="Q108" s="91" t="s">
        <v>4</v>
      </c>
      <c r="R108" s="90">
        <f t="shared" si="5"/>
        <v>1</v>
      </c>
    </row>
    <row r="109" spans="1:18" ht="23.1" customHeight="1" x14ac:dyDescent="0.25">
      <c r="A109" s="63">
        <v>27</v>
      </c>
      <c r="B109" s="43" t="s">
        <v>54</v>
      </c>
      <c r="C109" s="48"/>
      <c r="D109" s="48" t="str">
        <f t="shared" si="4"/>
        <v>[27W] Each Adhesive Materials Application Station w/o control equipment where adhesive materials usage is &lt; 55 gallons/year</v>
      </c>
      <c r="E109" s="44" t="s">
        <v>130</v>
      </c>
      <c r="F109" s="44" t="s">
        <v>130</v>
      </c>
      <c r="G109" s="68" t="s">
        <v>41</v>
      </c>
      <c r="H109" s="70">
        <v>907</v>
      </c>
      <c r="I109" s="91">
        <v>10</v>
      </c>
      <c r="J109" s="91">
        <v>8</v>
      </c>
      <c r="K109" s="90" t="str">
        <f>""</f>
        <v/>
      </c>
      <c r="L109" s="91" t="str">
        <f>""</f>
        <v/>
      </c>
      <c r="M109" s="91" t="str">
        <f>""</f>
        <v/>
      </c>
      <c r="N109" s="91" t="str">
        <f>""</f>
        <v/>
      </c>
      <c r="O109" s="91" t="str">
        <f>""</f>
        <v/>
      </c>
      <c r="P109" s="91">
        <v>1</v>
      </c>
      <c r="Q109" s="91" t="s">
        <v>4</v>
      </c>
      <c r="R109" s="90">
        <f t="shared" si="5"/>
        <v>1</v>
      </c>
    </row>
    <row r="110" spans="1:18" ht="23.1" customHeight="1" x14ac:dyDescent="0.25">
      <c r="A110" s="61" t="s">
        <v>281</v>
      </c>
      <c r="B110" s="42"/>
      <c r="C110" s="42"/>
      <c r="D110" s="48"/>
      <c r="E110" s="42"/>
      <c r="F110" s="42"/>
      <c r="G110" s="61"/>
      <c r="H110" s="87"/>
      <c r="I110" s="88"/>
      <c r="J110" s="88"/>
      <c r="K110" s="88"/>
      <c r="L110" s="88"/>
      <c r="M110" s="88"/>
      <c r="N110" s="88"/>
      <c r="O110" s="88"/>
      <c r="P110" s="88"/>
      <c r="Q110" s="88"/>
      <c r="R110" s="90" t="str">
        <f t="shared" si="5"/>
        <v/>
      </c>
    </row>
    <row r="111" spans="1:18" ht="23.1" customHeight="1" x14ac:dyDescent="0.25">
      <c r="A111" s="63">
        <v>28</v>
      </c>
      <c r="B111" s="43" t="s">
        <v>39</v>
      </c>
      <c r="C111" s="48"/>
      <c r="D111" s="48" t="str">
        <f t="shared" si="4"/>
        <v>[28A] Each Vapor Degreaser with an Air Vapor Interfacial area &gt; 5 square feet</v>
      </c>
      <c r="E111" s="44" t="s">
        <v>131</v>
      </c>
      <c r="F111" s="44" t="s">
        <v>131</v>
      </c>
      <c r="G111" s="97" t="s">
        <v>41</v>
      </c>
      <c r="H111" s="70">
        <v>568</v>
      </c>
      <c r="I111" s="91">
        <v>16</v>
      </c>
      <c r="J111" s="91">
        <v>12</v>
      </c>
      <c r="K111" s="90" t="str">
        <f>""</f>
        <v/>
      </c>
      <c r="L111" s="91" t="str">
        <f>""</f>
        <v/>
      </c>
      <c r="M111" s="91" t="str">
        <f>""</f>
        <v/>
      </c>
      <c r="N111" s="91" t="str">
        <f>""</f>
        <v/>
      </c>
      <c r="O111" s="91" t="str">
        <f>""</f>
        <v/>
      </c>
      <c r="P111" s="91">
        <v>1</v>
      </c>
      <c r="Q111" s="91" t="s">
        <v>257</v>
      </c>
      <c r="R111" s="90" t="str">
        <f t="shared" si="5"/>
        <v/>
      </c>
    </row>
    <row r="112" spans="1:18" ht="14.1" customHeight="1" x14ac:dyDescent="0.25">
      <c r="A112" s="63">
        <v>28</v>
      </c>
      <c r="B112" s="43" t="s">
        <v>43</v>
      </c>
      <c r="C112" s="48"/>
      <c r="D112" s="48" t="str">
        <f t="shared" si="4"/>
        <v>[28B] Each Cold Solvent Degreaser with liquid surface area &gt; 5 square feet</v>
      </c>
      <c r="E112" s="44" t="s">
        <v>132</v>
      </c>
      <c r="F112" s="44" t="s">
        <v>132</v>
      </c>
      <c r="G112" s="97" t="s">
        <v>41</v>
      </c>
      <c r="H112" s="69">
        <v>428</v>
      </c>
      <c r="I112" s="90">
        <v>10</v>
      </c>
      <c r="J112" s="90">
        <v>8</v>
      </c>
      <c r="K112" s="90" t="str">
        <f>""</f>
        <v/>
      </c>
      <c r="L112" s="91" t="str">
        <f>""</f>
        <v/>
      </c>
      <c r="M112" s="91" t="str">
        <f>""</f>
        <v/>
      </c>
      <c r="N112" s="91" t="str">
        <f>""</f>
        <v/>
      </c>
      <c r="O112" s="91" t="str">
        <f>""</f>
        <v/>
      </c>
      <c r="P112" s="91">
        <v>1</v>
      </c>
      <c r="Q112" s="90" t="s">
        <v>257</v>
      </c>
      <c r="R112" s="90" t="str">
        <f t="shared" si="5"/>
        <v/>
      </c>
    </row>
    <row r="113" spans="1:18" ht="12" customHeight="1" x14ac:dyDescent="0.25">
      <c r="A113" s="63">
        <v>28</v>
      </c>
      <c r="B113" s="43" t="s">
        <v>49</v>
      </c>
      <c r="C113" s="48"/>
      <c r="D113" s="48" t="str">
        <f t="shared" si="4"/>
        <v>[28D] Each Paint Stripping Tank</v>
      </c>
      <c r="E113" s="44" t="s">
        <v>133</v>
      </c>
      <c r="F113" s="44" t="s">
        <v>133</v>
      </c>
      <c r="G113" s="97" t="s">
        <v>41</v>
      </c>
      <c r="H113" s="69">
        <v>363</v>
      </c>
      <c r="I113" s="90">
        <v>10</v>
      </c>
      <c r="J113" s="90">
        <v>8</v>
      </c>
      <c r="K113" s="90" t="str">
        <f>""</f>
        <v/>
      </c>
      <c r="L113" s="91" t="str">
        <f>""</f>
        <v/>
      </c>
      <c r="M113" s="91" t="str">
        <f>""</f>
        <v/>
      </c>
      <c r="N113" s="91" t="str">
        <f>""</f>
        <v/>
      </c>
      <c r="O113" s="91" t="str">
        <f>""</f>
        <v/>
      </c>
      <c r="P113" s="91">
        <v>1</v>
      </c>
      <c r="Q113" s="90" t="s">
        <v>257</v>
      </c>
      <c r="R113" s="90" t="str">
        <f t="shared" si="5"/>
        <v/>
      </c>
    </row>
    <row r="114" spans="1:18" ht="11.1" customHeight="1" x14ac:dyDescent="0.25">
      <c r="A114" s="63">
        <v>28</v>
      </c>
      <c r="B114" s="43" t="s">
        <v>66</v>
      </c>
      <c r="C114" s="48"/>
      <c r="D114" s="48" t="str">
        <f t="shared" si="4"/>
        <v>[28F] Each Remote Reservoir Cleaners</v>
      </c>
      <c r="E114" s="44" t="s">
        <v>430</v>
      </c>
      <c r="F114" s="44" t="s">
        <v>134</v>
      </c>
      <c r="G114" s="97" t="s">
        <v>41</v>
      </c>
      <c r="H114" s="69">
        <v>387</v>
      </c>
      <c r="I114" s="90">
        <v>10</v>
      </c>
      <c r="J114" s="90">
        <v>8</v>
      </c>
      <c r="K114" s="90" t="str">
        <f>""</f>
        <v/>
      </c>
      <c r="L114" s="91" t="str">
        <f>""</f>
        <v/>
      </c>
      <c r="M114" s="91" t="str">
        <f>""</f>
        <v/>
      </c>
      <c r="N114" s="91" t="str">
        <f>""</f>
        <v/>
      </c>
      <c r="O114" s="91" t="str">
        <f>""</f>
        <v/>
      </c>
      <c r="P114" s="91">
        <v>1</v>
      </c>
      <c r="Q114" s="90" t="s">
        <v>257</v>
      </c>
      <c r="R114" s="90" t="str">
        <f t="shared" si="5"/>
        <v/>
      </c>
    </row>
    <row r="115" spans="1:18" ht="12" customHeight="1" x14ac:dyDescent="0.25">
      <c r="A115" s="63">
        <v>28</v>
      </c>
      <c r="B115" s="43" t="s">
        <v>69</v>
      </c>
      <c r="C115" s="48"/>
      <c r="D115" s="48" t="str">
        <f t="shared" si="4"/>
        <v>[28H] Each Vapor Degreaser with an Air-Vapor Interfacial area ≤ 5 square feet</v>
      </c>
      <c r="E115" s="44" t="s">
        <v>431</v>
      </c>
      <c r="F115" s="45" t="s">
        <v>135</v>
      </c>
      <c r="G115" s="97" t="s">
        <v>41</v>
      </c>
      <c r="H115" s="69">
        <v>507</v>
      </c>
      <c r="I115" s="90">
        <v>10</v>
      </c>
      <c r="J115" s="90">
        <v>8</v>
      </c>
      <c r="K115" s="90" t="str">
        <f>""</f>
        <v/>
      </c>
      <c r="L115" s="91" t="str">
        <f>""</f>
        <v/>
      </c>
      <c r="M115" s="91" t="str">
        <f>""</f>
        <v/>
      </c>
      <c r="N115" s="91" t="str">
        <f>""</f>
        <v/>
      </c>
      <c r="O115" s="91" t="str">
        <f>""</f>
        <v/>
      </c>
      <c r="P115" s="91">
        <v>1</v>
      </c>
      <c r="Q115" s="109" t="s">
        <v>257</v>
      </c>
      <c r="R115" s="90" t="str">
        <f t="shared" si="5"/>
        <v/>
      </c>
    </row>
    <row r="116" spans="1:18" ht="11.1" customHeight="1" x14ac:dyDescent="0.25">
      <c r="A116" s="63">
        <v>28</v>
      </c>
      <c r="B116" s="43" t="s">
        <v>107</v>
      </c>
      <c r="C116" s="48"/>
      <c r="D116" s="48" t="str">
        <f t="shared" si="4"/>
        <v>[28I] Each Cold Solvent Degreaser with a liquid surface area ≤ 5 square feet</v>
      </c>
      <c r="E116" s="44" t="s">
        <v>432</v>
      </c>
      <c r="F116" s="44" t="s">
        <v>136</v>
      </c>
      <c r="G116" s="97" t="s">
        <v>41</v>
      </c>
      <c r="H116" s="69">
        <v>375</v>
      </c>
      <c r="I116" s="90">
        <v>10</v>
      </c>
      <c r="J116" s="90">
        <v>8</v>
      </c>
      <c r="K116" s="90" t="str">
        <f>""</f>
        <v/>
      </c>
      <c r="L116" s="91" t="str">
        <f>""</f>
        <v/>
      </c>
      <c r="M116" s="91" t="str">
        <f>""</f>
        <v/>
      </c>
      <c r="N116" s="91" t="str">
        <f>""</f>
        <v/>
      </c>
      <c r="O116" s="91" t="str">
        <f>""</f>
        <v/>
      </c>
      <c r="P116" s="91">
        <v>1</v>
      </c>
      <c r="Q116" s="109" t="s">
        <v>257</v>
      </c>
      <c r="R116" s="90" t="str">
        <f t="shared" si="5"/>
        <v/>
      </c>
    </row>
    <row r="117" spans="1:18" ht="12" customHeight="1" x14ac:dyDescent="0.25">
      <c r="A117" s="63">
        <v>28</v>
      </c>
      <c r="B117" s="43" t="s">
        <v>109</v>
      </c>
      <c r="C117" s="48"/>
      <c r="D117" s="48" t="str">
        <f t="shared" si="4"/>
        <v>[28J] Each Metal Inspection Tank</v>
      </c>
      <c r="E117" s="44" t="s">
        <v>433</v>
      </c>
      <c r="F117" s="44" t="s">
        <v>137</v>
      </c>
      <c r="G117" s="97" t="s">
        <v>41</v>
      </c>
      <c r="H117" s="69">
        <v>348</v>
      </c>
      <c r="I117" s="90">
        <v>10</v>
      </c>
      <c r="J117" s="90">
        <v>8</v>
      </c>
      <c r="K117" s="90" t="str">
        <f>""</f>
        <v/>
      </c>
      <c r="L117" s="91" t="str">
        <f>""</f>
        <v/>
      </c>
      <c r="M117" s="91" t="str">
        <f>""</f>
        <v/>
      </c>
      <c r="N117" s="91" t="str">
        <f>""</f>
        <v/>
      </c>
      <c r="O117" s="91" t="str">
        <f>""</f>
        <v/>
      </c>
      <c r="P117" s="91">
        <v>1</v>
      </c>
      <c r="Q117" s="109" t="s">
        <v>257</v>
      </c>
      <c r="R117" s="90" t="str">
        <f t="shared" si="5"/>
        <v/>
      </c>
    </row>
    <row r="118" spans="1:18" ht="21" customHeight="1" x14ac:dyDescent="0.25">
      <c r="A118" s="110">
        <v>28</v>
      </c>
      <c r="B118" s="111" t="s">
        <v>111</v>
      </c>
      <c r="C118" s="127"/>
      <c r="D118" s="48" t="str">
        <f t="shared" si="4"/>
        <v>[28K] Each Contract Service Remote Reservoir Cleaners with &gt; 100 units</v>
      </c>
      <c r="E118" s="112" t="s">
        <v>434</v>
      </c>
      <c r="F118" s="112" t="s">
        <v>138</v>
      </c>
      <c r="G118" s="113" t="s">
        <v>41</v>
      </c>
      <c r="H118" s="114">
        <v>46</v>
      </c>
      <c r="I118" s="115"/>
      <c r="J118" s="115"/>
      <c r="K118" s="115"/>
      <c r="L118" s="115"/>
      <c r="M118" s="115"/>
      <c r="N118" s="115"/>
      <c r="O118" s="115"/>
      <c r="P118" s="115">
        <v>1</v>
      </c>
      <c r="Q118" s="115"/>
      <c r="R118" s="90" t="str">
        <f t="shared" si="5"/>
        <v/>
      </c>
    </row>
    <row r="119" spans="1:18" ht="23.1" customHeight="1" x14ac:dyDescent="0.25">
      <c r="A119" s="110">
        <v>28</v>
      </c>
      <c r="B119" s="111" t="s">
        <v>113</v>
      </c>
      <c r="C119" s="127"/>
      <c r="D119" s="48" t="str">
        <f t="shared" si="4"/>
        <v>[28L] Each Contract Service Cold Degreasers with a liquid surface area of ≤ 5 square feet</v>
      </c>
      <c r="E119" s="112" t="s">
        <v>435</v>
      </c>
      <c r="F119" s="116" t="s">
        <v>139</v>
      </c>
      <c r="G119" s="113" t="s">
        <v>41</v>
      </c>
      <c r="H119" s="114">
        <v>21</v>
      </c>
      <c r="I119" s="115"/>
      <c r="J119" s="115"/>
      <c r="K119" s="115"/>
      <c r="L119" s="115"/>
      <c r="M119" s="115"/>
      <c r="N119" s="115"/>
      <c r="O119" s="115"/>
      <c r="P119" s="115">
        <v>1</v>
      </c>
      <c r="Q119" s="115"/>
      <c r="R119" s="90" t="str">
        <f t="shared" si="5"/>
        <v/>
      </c>
    </row>
    <row r="120" spans="1:18" ht="11.1" customHeight="1" x14ac:dyDescent="0.25">
      <c r="A120" s="63">
        <v>28</v>
      </c>
      <c r="B120" s="43" t="s">
        <v>115</v>
      </c>
      <c r="C120" s="48"/>
      <c r="D120" s="48" t="str">
        <f t="shared" si="4"/>
        <v>[28M] Each facility-wide Solvent Application Operation</v>
      </c>
      <c r="E120" s="44" t="s">
        <v>140</v>
      </c>
      <c r="F120" s="44" t="s">
        <v>140</v>
      </c>
      <c r="G120" s="106" t="s">
        <v>41</v>
      </c>
      <c r="H120" s="117">
        <v>760</v>
      </c>
      <c r="I120" s="91">
        <v>16</v>
      </c>
      <c r="J120" s="91">
        <v>12</v>
      </c>
      <c r="K120" s="90" t="str">
        <f>""</f>
        <v/>
      </c>
      <c r="L120" s="91" t="str">
        <f>""</f>
        <v/>
      </c>
      <c r="M120" s="91" t="str">
        <f>""</f>
        <v/>
      </c>
      <c r="N120" s="91" t="str">
        <f>""</f>
        <v/>
      </c>
      <c r="O120" s="91" t="str">
        <f>""</f>
        <v/>
      </c>
      <c r="P120" s="91">
        <v>1</v>
      </c>
      <c r="Q120" s="118" t="s">
        <v>257</v>
      </c>
      <c r="R120" s="90" t="str">
        <f t="shared" si="5"/>
        <v/>
      </c>
    </row>
    <row r="121" spans="1:18" ht="15.95" customHeight="1" x14ac:dyDescent="0.25">
      <c r="A121" s="61" t="s">
        <v>282</v>
      </c>
      <c r="B121" s="42"/>
      <c r="C121" s="42"/>
      <c r="D121" s="48"/>
      <c r="E121" s="42"/>
      <c r="F121" s="42"/>
      <c r="G121" s="61"/>
      <c r="H121" s="87"/>
      <c r="I121" s="88"/>
      <c r="J121" s="88"/>
      <c r="K121" s="88"/>
      <c r="L121" s="88"/>
      <c r="M121" s="88"/>
      <c r="N121" s="88"/>
      <c r="O121" s="88"/>
      <c r="P121" s="88"/>
      <c r="Q121" s="88"/>
      <c r="R121" s="90" t="str">
        <f t="shared" si="5"/>
        <v/>
      </c>
    </row>
    <row r="122" spans="1:18" ht="14.1" customHeight="1" x14ac:dyDescent="0.25">
      <c r="A122" s="63"/>
      <c r="B122" s="43"/>
      <c r="C122" s="48"/>
      <c r="D122" s="48"/>
      <c r="E122" s="44"/>
      <c r="F122" s="44"/>
      <c r="G122" s="97"/>
      <c r="H122" s="69"/>
      <c r="I122" s="90"/>
      <c r="J122" s="90"/>
      <c r="K122" s="90"/>
      <c r="L122" s="91"/>
      <c r="M122" s="91"/>
      <c r="N122" s="91"/>
      <c r="O122" s="91"/>
      <c r="P122" s="91"/>
      <c r="Q122" s="90"/>
      <c r="R122" s="90"/>
    </row>
    <row r="123" spans="1:18" ht="14.1" customHeight="1" x14ac:dyDescent="0.25">
      <c r="A123" s="61" t="s">
        <v>283</v>
      </c>
      <c r="B123" s="42"/>
      <c r="C123" s="42"/>
      <c r="D123" s="48"/>
      <c r="E123" s="42"/>
      <c r="F123" s="42"/>
      <c r="G123" s="61"/>
      <c r="H123" s="87"/>
      <c r="I123" s="88"/>
      <c r="J123" s="88"/>
      <c r="K123" s="88"/>
      <c r="L123" s="88"/>
      <c r="M123" s="88"/>
      <c r="N123" s="88"/>
      <c r="O123" s="88"/>
      <c r="P123" s="88"/>
      <c r="Q123" s="88"/>
      <c r="R123" s="90" t="str">
        <f t="shared" si="5"/>
        <v/>
      </c>
    </row>
    <row r="124" spans="1:18" ht="12" customHeight="1" x14ac:dyDescent="0.25">
      <c r="A124" s="63">
        <v>30</v>
      </c>
      <c r="B124" s="43" t="s">
        <v>39</v>
      </c>
      <c r="C124" s="48"/>
      <c r="D124" s="48" t="str">
        <f t="shared" si="4"/>
        <v>[30A] Each Kelp and Biogum Products Solvent Dryer</v>
      </c>
      <c r="E124" s="44" t="s">
        <v>436</v>
      </c>
      <c r="F124" s="44" t="s">
        <v>141</v>
      </c>
      <c r="G124" s="96" t="s">
        <v>41</v>
      </c>
      <c r="H124" s="69">
        <v>1969</v>
      </c>
      <c r="I124" s="90">
        <v>20</v>
      </c>
      <c r="J124" s="90">
        <v>16</v>
      </c>
      <c r="K124" s="90" t="str">
        <f>""</f>
        <v/>
      </c>
      <c r="L124" s="91" t="str">
        <f>""</f>
        <v/>
      </c>
      <c r="M124" s="91" t="str">
        <f>""</f>
        <v/>
      </c>
      <c r="N124" s="91" t="str">
        <f>""</f>
        <v/>
      </c>
      <c r="O124" s="91" t="str">
        <f>""</f>
        <v/>
      </c>
      <c r="P124" s="91">
        <v>1</v>
      </c>
      <c r="Q124" s="90" t="s">
        <v>4</v>
      </c>
      <c r="R124" s="90">
        <f t="shared" si="5"/>
        <v>1</v>
      </c>
    </row>
    <row r="125" spans="1:18" ht="15" customHeight="1" x14ac:dyDescent="0.25">
      <c r="A125" s="61" t="s">
        <v>284</v>
      </c>
      <c r="B125" s="42"/>
      <c r="C125" s="42"/>
      <c r="D125" s="48"/>
      <c r="E125" s="42"/>
      <c r="F125" s="42"/>
      <c r="G125" s="61"/>
      <c r="H125" s="87"/>
      <c r="I125" s="88"/>
      <c r="J125" s="88"/>
      <c r="K125" s="88"/>
      <c r="L125" s="88"/>
      <c r="M125" s="88"/>
      <c r="N125" s="88"/>
      <c r="O125" s="88"/>
      <c r="P125" s="88"/>
      <c r="Q125" s="88"/>
      <c r="R125" s="90" t="str">
        <f t="shared" si="5"/>
        <v/>
      </c>
    </row>
    <row r="126" spans="1:18" ht="23.1" customHeight="1" x14ac:dyDescent="0.25">
      <c r="A126" s="63"/>
      <c r="B126" s="43"/>
      <c r="C126" s="48"/>
      <c r="D126" s="48"/>
      <c r="E126" s="44"/>
      <c r="F126" s="44"/>
      <c r="G126" s="97"/>
      <c r="H126" s="70"/>
      <c r="I126" s="91"/>
      <c r="J126" s="91"/>
      <c r="K126" s="90"/>
      <c r="L126" s="91"/>
      <c r="M126" s="91"/>
      <c r="N126" s="91"/>
      <c r="O126" s="91"/>
      <c r="P126" s="91"/>
      <c r="Q126" s="91"/>
      <c r="R126" s="90"/>
    </row>
    <row r="127" spans="1:18" ht="18" customHeight="1" x14ac:dyDescent="0.25">
      <c r="A127" s="63">
        <v>31</v>
      </c>
      <c r="B127" s="43" t="s">
        <v>43</v>
      </c>
      <c r="C127" s="48"/>
      <c r="D127" s="48" t="str">
        <f t="shared" si="4"/>
        <v>[31B] Each Dry Cleaner using Petroleum Based Solvents</v>
      </c>
      <c r="E127" s="44" t="s">
        <v>437</v>
      </c>
      <c r="F127" s="44" t="s">
        <v>142</v>
      </c>
      <c r="G127" s="96" t="s">
        <v>41</v>
      </c>
      <c r="H127" s="69">
        <v>580</v>
      </c>
      <c r="I127" s="90">
        <v>12</v>
      </c>
      <c r="J127" s="90">
        <v>8</v>
      </c>
      <c r="K127" s="90" t="str">
        <f>""</f>
        <v/>
      </c>
      <c r="L127" s="91" t="str">
        <f>""</f>
        <v/>
      </c>
      <c r="M127" s="91" t="str">
        <f>""</f>
        <v/>
      </c>
      <c r="N127" s="91" t="str">
        <f>""</f>
        <v/>
      </c>
      <c r="O127" s="91" t="str">
        <f>""</f>
        <v/>
      </c>
      <c r="P127" s="91">
        <v>1</v>
      </c>
      <c r="Q127" s="90" t="s">
        <v>257</v>
      </c>
      <c r="R127" s="90" t="str">
        <f t="shared" si="5"/>
        <v/>
      </c>
    </row>
    <row r="128" spans="1:18" ht="26.1" customHeight="1" x14ac:dyDescent="0.25">
      <c r="A128" s="61" t="s">
        <v>285</v>
      </c>
      <c r="B128" s="42"/>
      <c r="C128" s="42"/>
      <c r="D128" s="48"/>
      <c r="E128" s="42"/>
      <c r="F128" s="42"/>
      <c r="G128" s="61"/>
      <c r="H128" s="87"/>
      <c r="I128" s="88"/>
      <c r="J128" s="88"/>
      <c r="K128" s="88"/>
      <c r="L128" s="88"/>
      <c r="M128" s="88"/>
      <c r="N128" s="88"/>
      <c r="O128" s="88"/>
      <c r="P128" s="88"/>
      <c r="Q128" s="88"/>
      <c r="R128" s="90" t="str">
        <f t="shared" si="5"/>
        <v/>
      </c>
    </row>
    <row r="129" spans="1:18" ht="12" customHeight="1" x14ac:dyDescent="0.25">
      <c r="A129" s="63">
        <v>32</v>
      </c>
      <c r="B129" s="43" t="s">
        <v>39</v>
      </c>
      <c r="C129" s="48"/>
      <c r="D129" s="48" t="str">
        <f t="shared" si="4"/>
        <v>[32A] Each Copper Etching Tank</v>
      </c>
      <c r="E129" s="44" t="s">
        <v>143</v>
      </c>
      <c r="F129" s="44" t="s">
        <v>143</v>
      </c>
      <c r="G129" s="96" t="s">
        <v>41</v>
      </c>
      <c r="H129" s="69">
        <v>821</v>
      </c>
      <c r="I129" s="90">
        <v>20</v>
      </c>
      <c r="J129" s="90">
        <v>16</v>
      </c>
      <c r="K129" s="90" t="str">
        <f>""</f>
        <v/>
      </c>
      <c r="L129" s="91" t="str">
        <f>""</f>
        <v/>
      </c>
      <c r="M129" s="91" t="str">
        <f>""</f>
        <v/>
      </c>
      <c r="N129" s="91" t="str">
        <f>""</f>
        <v/>
      </c>
      <c r="O129" s="91" t="str">
        <f>""</f>
        <v/>
      </c>
      <c r="P129" s="91">
        <v>1</v>
      </c>
      <c r="Q129" s="90" t="s">
        <v>4</v>
      </c>
      <c r="R129" s="90">
        <f t="shared" si="5"/>
        <v>1</v>
      </c>
    </row>
    <row r="130" spans="1:18" ht="12" customHeight="1" x14ac:dyDescent="0.25">
      <c r="A130" s="63">
        <v>32</v>
      </c>
      <c r="B130" s="43" t="s">
        <v>43</v>
      </c>
      <c r="C130" s="48"/>
      <c r="D130" s="48" t="str">
        <f t="shared" si="4"/>
        <v>[32B] Each Acid Chemical Milling Tank</v>
      </c>
      <c r="E130" s="44" t="s">
        <v>144</v>
      </c>
      <c r="F130" s="44" t="s">
        <v>144</v>
      </c>
      <c r="G130" s="96" t="s">
        <v>41</v>
      </c>
      <c r="H130" s="69">
        <v>704</v>
      </c>
      <c r="I130" s="90">
        <v>20</v>
      </c>
      <c r="J130" s="90">
        <v>16</v>
      </c>
      <c r="K130" s="90" t="str">
        <f>""</f>
        <v/>
      </c>
      <c r="L130" s="91" t="str">
        <f>""</f>
        <v/>
      </c>
      <c r="M130" s="91" t="str">
        <f>""</f>
        <v/>
      </c>
      <c r="N130" s="91" t="str">
        <f>""</f>
        <v/>
      </c>
      <c r="O130" s="91" t="str">
        <f>""</f>
        <v/>
      </c>
      <c r="P130" s="91">
        <v>1</v>
      </c>
      <c r="Q130" s="90" t="s">
        <v>4</v>
      </c>
      <c r="R130" s="90">
        <f t="shared" si="5"/>
        <v>1</v>
      </c>
    </row>
    <row r="131" spans="1:18" ht="11.1" customHeight="1" x14ac:dyDescent="0.25">
      <c r="A131" s="63">
        <v>32</v>
      </c>
      <c r="B131" s="43" t="s">
        <v>46</v>
      </c>
      <c r="C131" s="48"/>
      <c r="D131" s="48" t="str">
        <f t="shared" si="4"/>
        <v>[32C] Each Hot Dip Galvanizing Tank</v>
      </c>
      <c r="E131" s="44" t="s">
        <v>145</v>
      </c>
      <c r="F131" s="44" t="s">
        <v>145</v>
      </c>
      <c r="G131" s="96" t="s">
        <v>41</v>
      </c>
      <c r="H131" s="69">
        <v>363</v>
      </c>
      <c r="I131" s="90">
        <v>20</v>
      </c>
      <c r="J131" s="90">
        <v>16</v>
      </c>
      <c r="K131" s="90" t="str">
        <f>""</f>
        <v/>
      </c>
      <c r="L131" s="91" t="str">
        <f>""</f>
        <v/>
      </c>
      <c r="M131" s="91" t="str">
        <f>""</f>
        <v/>
      </c>
      <c r="N131" s="91" t="str">
        <f>""</f>
        <v/>
      </c>
      <c r="O131" s="91" t="str">
        <f>""</f>
        <v/>
      </c>
      <c r="P131" s="91">
        <v>1</v>
      </c>
      <c r="Q131" s="90" t="s">
        <v>4</v>
      </c>
      <c r="R131" s="90">
        <f t="shared" si="5"/>
        <v>1</v>
      </c>
    </row>
    <row r="132" spans="1:18" ht="12.95" customHeight="1" x14ac:dyDescent="0.25">
      <c r="A132" s="61" t="s">
        <v>286</v>
      </c>
      <c r="B132" s="42"/>
      <c r="C132" s="42"/>
      <c r="D132" s="48"/>
      <c r="E132" s="42"/>
      <c r="F132" s="42"/>
      <c r="G132" s="61"/>
      <c r="H132" s="87"/>
      <c r="I132" s="88"/>
      <c r="J132" s="88"/>
      <c r="K132" s="88"/>
      <c r="L132" s="88"/>
      <c r="M132" s="88"/>
      <c r="N132" s="88"/>
      <c r="O132" s="88"/>
      <c r="P132" s="88"/>
      <c r="Q132" s="88"/>
      <c r="R132" s="90" t="str">
        <f t="shared" si="5"/>
        <v/>
      </c>
    </row>
    <row r="133" spans="1:18" ht="14.1" customHeight="1" x14ac:dyDescent="0.25">
      <c r="A133" s="61" t="s">
        <v>287</v>
      </c>
      <c r="B133" s="42"/>
      <c r="C133" s="42"/>
      <c r="D133" s="48"/>
      <c r="E133" s="42"/>
      <c r="F133" s="42"/>
      <c r="G133" s="61"/>
      <c r="H133" s="87"/>
      <c r="I133" s="88"/>
      <c r="J133" s="88"/>
      <c r="K133" s="88"/>
      <c r="L133" s="88"/>
      <c r="M133" s="88"/>
      <c r="N133" s="88"/>
      <c r="O133" s="88"/>
      <c r="P133" s="88"/>
      <c r="Q133" s="88"/>
      <c r="R133" s="90" t="str">
        <f t="shared" si="5"/>
        <v/>
      </c>
    </row>
    <row r="134" spans="1:18" ht="15" customHeight="1" x14ac:dyDescent="0.25">
      <c r="A134" s="63">
        <v>34</v>
      </c>
      <c r="B134" s="43" t="s">
        <v>39</v>
      </c>
      <c r="C134" s="48"/>
      <c r="D134" s="48" t="str">
        <f t="shared" si="4"/>
        <v>[34A] Each Cogeneration Engine with in-stack Emission Controls</v>
      </c>
      <c r="E134" s="44" t="s">
        <v>146</v>
      </c>
      <c r="F134" s="44" t="s">
        <v>146</v>
      </c>
      <c r="G134" s="96" t="s">
        <v>41</v>
      </c>
      <c r="H134" s="69">
        <v>1188</v>
      </c>
      <c r="I134" s="90">
        <v>20</v>
      </c>
      <c r="J134" s="90">
        <v>16</v>
      </c>
      <c r="K134" s="90"/>
      <c r="L134" s="90" t="str">
        <f>""</f>
        <v/>
      </c>
      <c r="M134" s="90" t="str">
        <f>""</f>
        <v/>
      </c>
      <c r="N134" s="90" t="str">
        <f>""</f>
        <v/>
      </c>
      <c r="O134" s="90" t="str">
        <f>""</f>
        <v/>
      </c>
      <c r="P134" s="90">
        <v>1</v>
      </c>
      <c r="Q134" s="90" t="s">
        <v>4</v>
      </c>
      <c r="R134" s="90">
        <f t="shared" si="5"/>
        <v>1</v>
      </c>
    </row>
    <row r="135" spans="1:18" ht="12" customHeight="1" x14ac:dyDescent="0.25">
      <c r="A135" s="63">
        <v>34</v>
      </c>
      <c r="B135" s="43" t="s">
        <v>43</v>
      </c>
      <c r="C135" s="48"/>
      <c r="D135" s="48" t="str">
        <f t="shared" si="4"/>
        <v>[34B] Each Cogeneration Engine with no in-stack Emission Controls</v>
      </c>
      <c r="E135" s="44" t="s">
        <v>438</v>
      </c>
      <c r="F135" s="44" t="s">
        <v>147</v>
      </c>
      <c r="G135" s="96" t="s">
        <v>41</v>
      </c>
      <c r="H135" s="69">
        <v>784</v>
      </c>
      <c r="I135" s="90">
        <v>20</v>
      </c>
      <c r="J135" s="90">
        <v>16</v>
      </c>
      <c r="K135" s="90"/>
      <c r="L135" s="90" t="str">
        <f>""</f>
        <v/>
      </c>
      <c r="M135" s="90" t="str">
        <f>""</f>
        <v/>
      </c>
      <c r="N135" s="90" t="str">
        <f>""</f>
        <v/>
      </c>
      <c r="O135" s="90" t="str">
        <f>""</f>
        <v/>
      </c>
      <c r="P135" s="90">
        <v>1</v>
      </c>
      <c r="Q135" s="90" t="s">
        <v>4</v>
      </c>
      <c r="R135" s="90">
        <f t="shared" si="5"/>
        <v>1</v>
      </c>
    </row>
    <row r="136" spans="1:18" ht="23.1" customHeight="1" x14ac:dyDescent="0.25">
      <c r="A136" s="63"/>
      <c r="B136" s="43"/>
      <c r="C136" s="48"/>
      <c r="D136" s="48"/>
      <c r="E136" s="44"/>
      <c r="F136" s="44"/>
      <c r="G136" s="68"/>
      <c r="H136" s="70"/>
      <c r="I136" s="91"/>
      <c r="J136" s="90"/>
      <c r="K136" s="91"/>
      <c r="L136" s="90"/>
      <c r="M136" s="90"/>
      <c r="N136" s="90"/>
      <c r="O136" s="90"/>
      <c r="P136" s="90"/>
      <c r="Q136" s="91"/>
      <c r="R136" s="90"/>
    </row>
    <row r="137" spans="1:18" ht="11.1" customHeight="1" x14ac:dyDescent="0.25">
      <c r="A137" s="63">
        <v>34</v>
      </c>
      <c r="B137" s="43" t="s">
        <v>49</v>
      </c>
      <c r="C137" s="48"/>
      <c r="D137" s="48" t="str">
        <f t="shared" si="4"/>
        <v>[34D] Each Engine for Non-Emergency and Non-Cogeneration Operation</v>
      </c>
      <c r="E137" s="44" t="s">
        <v>149</v>
      </c>
      <c r="F137" s="44" t="s">
        <v>149</v>
      </c>
      <c r="G137" s="96" t="s">
        <v>41</v>
      </c>
      <c r="H137" s="69">
        <v>844</v>
      </c>
      <c r="I137" s="90">
        <v>20</v>
      </c>
      <c r="J137" s="90">
        <v>16</v>
      </c>
      <c r="K137" s="90"/>
      <c r="L137" s="90" t="str">
        <f>""</f>
        <v/>
      </c>
      <c r="M137" s="90" t="str">
        <f>""</f>
        <v/>
      </c>
      <c r="N137" s="90" t="str">
        <f>""</f>
        <v/>
      </c>
      <c r="O137" s="90" t="str">
        <f>""</f>
        <v/>
      </c>
      <c r="P137" s="90">
        <v>1</v>
      </c>
      <c r="Q137" s="90" t="s">
        <v>4</v>
      </c>
      <c r="R137" s="90">
        <f t="shared" si="5"/>
        <v>1</v>
      </c>
    </row>
    <row r="138" spans="1:18" ht="23.1" customHeight="1" x14ac:dyDescent="0.25">
      <c r="A138" s="63">
        <v>34</v>
      </c>
      <c r="B138" s="43" t="s">
        <v>64</v>
      </c>
      <c r="C138" s="48"/>
      <c r="D138" s="48" t="str">
        <f t="shared" si="4"/>
        <v>[34E] Each Grouping of Engines for Dredging or Crane Operation with total engine horsepower &gt; 200 HP</v>
      </c>
      <c r="E138" s="44" t="s">
        <v>150</v>
      </c>
      <c r="F138" s="44" t="s">
        <v>150</v>
      </c>
      <c r="G138" s="97" t="s">
        <v>41</v>
      </c>
      <c r="H138" s="70">
        <v>776</v>
      </c>
      <c r="I138" s="90">
        <v>20</v>
      </c>
      <c r="J138" s="90">
        <v>16</v>
      </c>
      <c r="K138" s="90"/>
      <c r="L138" s="90" t="str">
        <f>""</f>
        <v/>
      </c>
      <c r="M138" s="90" t="str">
        <f>""</f>
        <v/>
      </c>
      <c r="N138" s="90" t="str">
        <f>""</f>
        <v/>
      </c>
      <c r="O138" s="90" t="str">
        <f>""</f>
        <v/>
      </c>
      <c r="P138" s="90">
        <v>1</v>
      </c>
      <c r="Q138" s="91" t="s">
        <v>4</v>
      </c>
      <c r="R138" s="90">
        <f t="shared" si="5"/>
        <v>1</v>
      </c>
    </row>
    <row r="139" spans="1:18" ht="12" customHeight="1" x14ac:dyDescent="0.25">
      <c r="A139" s="63">
        <v>34</v>
      </c>
      <c r="B139" s="43" t="s">
        <v>66</v>
      </c>
      <c r="C139" s="48"/>
      <c r="D139" s="48" t="str">
        <f t="shared" si="4"/>
        <v>[34F] Each Diesel Pile-Driving Hammer</v>
      </c>
      <c r="E139" s="44" t="s">
        <v>151</v>
      </c>
      <c r="F139" s="44" t="s">
        <v>151</v>
      </c>
      <c r="G139" s="96" t="s">
        <v>41</v>
      </c>
      <c r="H139" s="69">
        <v>245</v>
      </c>
      <c r="I139" s="90">
        <v>20</v>
      </c>
      <c r="J139" s="90">
        <v>16</v>
      </c>
      <c r="K139" s="91" t="str">
        <f>""</f>
        <v/>
      </c>
      <c r="L139" s="90" t="str">
        <f>""</f>
        <v/>
      </c>
      <c r="M139" s="90" t="str">
        <f>""</f>
        <v/>
      </c>
      <c r="N139" s="90" t="str">
        <f>""</f>
        <v/>
      </c>
      <c r="O139" s="90" t="str">
        <f>""</f>
        <v/>
      </c>
      <c r="P139" s="90">
        <v>1</v>
      </c>
      <c r="Q139" s="90" t="s">
        <v>4</v>
      </c>
      <c r="R139" s="90">
        <f t="shared" si="5"/>
        <v>1</v>
      </c>
    </row>
    <row r="140" spans="1:18" ht="23.1" customHeight="1" x14ac:dyDescent="0.25">
      <c r="A140" s="63">
        <v>34</v>
      </c>
      <c r="B140" s="43" t="s">
        <v>68</v>
      </c>
      <c r="C140" s="48"/>
      <c r="D140" s="48" t="str">
        <f t="shared" si="4"/>
        <v>[34G] Each Engine for Non-Emergency and Non-Cogeneration Operation &lt; 200 horsepower</v>
      </c>
      <c r="E140" s="44" t="s">
        <v>152</v>
      </c>
      <c r="F140" s="44" t="s">
        <v>152</v>
      </c>
      <c r="G140" s="96" t="s">
        <v>41</v>
      </c>
      <c r="H140" s="70">
        <v>516</v>
      </c>
      <c r="I140" s="91">
        <v>16</v>
      </c>
      <c r="J140" s="90">
        <v>12</v>
      </c>
      <c r="K140" s="91" t="str">
        <f>""</f>
        <v/>
      </c>
      <c r="L140" s="90" t="str">
        <f>""</f>
        <v/>
      </c>
      <c r="M140" s="90" t="str">
        <f>""</f>
        <v/>
      </c>
      <c r="N140" s="90" t="str">
        <f>""</f>
        <v/>
      </c>
      <c r="O140" s="90" t="str">
        <f>""</f>
        <v/>
      </c>
      <c r="P140" s="90">
        <v>1</v>
      </c>
      <c r="Q140" s="91" t="s">
        <v>4</v>
      </c>
      <c r="R140" s="90">
        <f t="shared" si="5"/>
        <v>1</v>
      </c>
    </row>
    <row r="141" spans="1:18" ht="23.1" customHeight="1" x14ac:dyDescent="0.25">
      <c r="A141" s="63">
        <v>34</v>
      </c>
      <c r="B141" s="43" t="s">
        <v>69</v>
      </c>
      <c r="C141" s="48"/>
      <c r="D141" s="48" t="str">
        <f t="shared" ref="D141" si="6">_xlfn.CONCAT("[",A141,B141,"]"," ",E141)</f>
        <v>[34H] Each Emergency Standby Engine (for electrical or fuel interruptions beyond control of Permittee)</v>
      </c>
      <c r="E141" s="44" t="s">
        <v>473</v>
      </c>
      <c r="F141" s="44" t="s">
        <v>148</v>
      </c>
      <c r="G141" s="68">
        <v>3805</v>
      </c>
      <c r="H141" s="70">
        <v>452</v>
      </c>
      <c r="I141" s="91" t="s">
        <v>372</v>
      </c>
      <c r="J141" s="90">
        <f>G141/$U$9</f>
        <v>12.079365079365079</v>
      </c>
      <c r="K141" s="91" t="str">
        <f>""</f>
        <v/>
      </c>
      <c r="L141" s="90" t="str">
        <f>""</f>
        <v/>
      </c>
      <c r="M141" s="90" t="str">
        <f>""</f>
        <v/>
      </c>
      <c r="N141" s="90" t="str">
        <f>""</f>
        <v/>
      </c>
      <c r="O141" s="90" t="str">
        <f>""</f>
        <v/>
      </c>
      <c r="P141" s="90">
        <v>1</v>
      </c>
      <c r="Q141" s="91" t="s">
        <v>4</v>
      </c>
      <c r="R141" s="90">
        <f t="shared" si="5"/>
        <v>1</v>
      </c>
    </row>
    <row r="142" spans="1:18" ht="12.95" customHeight="1" x14ac:dyDescent="0.25">
      <c r="A142" s="63">
        <v>34</v>
      </c>
      <c r="B142" s="43" t="s">
        <v>107</v>
      </c>
      <c r="C142" s="48"/>
      <c r="D142" s="48" t="str">
        <f t="shared" si="4"/>
        <v>[34I] Each Internal Combustion Engine Test Cell orTest Stand</v>
      </c>
      <c r="E142" s="44" t="s">
        <v>439</v>
      </c>
      <c r="F142" s="44" t="s">
        <v>153</v>
      </c>
      <c r="G142" s="96" t="s">
        <v>41</v>
      </c>
      <c r="H142" s="69">
        <v>498</v>
      </c>
      <c r="I142" s="90">
        <v>20</v>
      </c>
      <c r="J142" s="90">
        <v>16</v>
      </c>
      <c r="K142" s="91" t="str">
        <f>""</f>
        <v/>
      </c>
      <c r="L142" s="90" t="str">
        <f>""</f>
        <v/>
      </c>
      <c r="M142" s="90" t="str">
        <f>""</f>
        <v/>
      </c>
      <c r="N142" s="90" t="str">
        <f>""</f>
        <v/>
      </c>
      <c r="O142" s="90" t="str">
        <f>""</f>
        <v/>
      </c>
      <c r="P142" s="90">
        <v>1</v>
      </c>
      <c r="Q142" s="90" t="s">
        <v>4</v>
      </c>
      <c r="R142" s="90">
        <f t="shared" si="5"/>
        <v>1</v>
      </c>
    </row>
    <row r="143" spans="1:18" ht="12.95" customHeight="1" x14ac:dyDescent="0.25">
      <c r="A143" s="63">
        <v>34</v>
      </c>
      <c r="B143" s="43" t="s">
        <v>154</v>
      </c>
      <c r="C143" s="48"/>
      <c r="D143" s="48" t="str">
        <f t="shared" si="4"/>
        <v>[34L] Each Diesel Particulate Filter Cleaning Process</v>
      </c>
      <c r="E143" s="44" t="s">
        <v>155</v>
      </c>
      <c r="F143" s="44" t="s">
        <v>155</v>
      </c>
      <c r="G143" s="96" t="s">
        <v>41</v>
      </c>
      <c r="H143" s="69">
        <v>659</v>
      </c>
      <c r="I143" s="90">
        <v>12</v>
      </c>
      <c r="J143" s="90">
        <v>8</v>
      </c>
      <c r="K143" s="91" t="str">
        <f>""</f>
        <v/>
      </c>
      <c r="L143" s="90" t="str">
        <f>""</f>
        <v/>
      </c>
      <c r="M143" s="90" t="str">
        <f>""</f>
        <v/>
      </c>
      <c r="N143" s="90" t="str">
        <f>""</f>
        <v/>
      </c>
      <c r="O143" s="90" t="str">
        <f>""</f>
        <v/>
      </c>
      <c r="P143" s="90">
        <v>1</v>
      </c>
      <c r="Q143" s="90" t="s">
        <v>4</v>
      </c>
      <c r="R143" s="90">
        <f t="shared" si="5"/>
        <v>1</v>
      </c>
    </row>
    <row r="144" spans="1:18" ht="12.95" customHeight="1" x14ac:dyDescent="0.25">
      <c r="A144" s="63">
        <v>34</v>
      </c>
      <c r="B144" s="43" t="s">
        <v>54</v>
      </c>
      <c r="C144" s="48"/>
      <c r="D144" s="48" t="str">
        <f t="shared" si="4"/>
        <v>[34W] Each Eligible Engine, Registered Under Rule 12 (stationary)</v>
      </c>
      <c r="E144" s="44" t="s">
        <v>440</v>
      </c>
      <c r="F144" s="44" t="s">
        <v>156</v>
      </c>
      <c r="G144" s="67">
        <v>558</v>
      </c>
      <c r="H144" s="69">
        <v>429</v>
      </c>
      <c r="I144" s="90" t="s">
        <v>372</v>
      </c>
      <c r="J144" s="90">
        <f>G144/$U$9</f>
        <v>1.7714285714285714</v>
      </c>
      <c r="K144" s="91" t="str">
        <f>""</f>
        <v/>
      </c>
      <c r="L144" s="90" t="str">
        <f>""</f>
        <v/>
      </c>
      <c r="M144" s="90" t="str">
        <f>""</f>
        <v/>
      </c>
      <c r="N144" s="90" t="str">
        <f>""</f>
        <v/>
      </c>
      <c r="O144" s="90" t="str">
        <f>""</f>
        <v/>
      </c>
      <c r="P144" s="90">
        <v>1</v>
      </c>
      <c r="Q144" s="90" t="s">
        <v>257</v>
      </c>
      <c r="R144" s="90" t="str">
        <f t="shared" si="5"/>
        <v/>
      </c>
    </row>
    <row r="145" spans="1:18" ht="18" customHeight="1" x14ac:dyDescent="0.25">
      <c r="A145" s="63">
        <v>34</v>
      </c>
      <c r="B145" s="43" t="s">
        <v>51</v>
      </c>
      <c r="C145" s="48"/>
      <c r="D145" s="48" t="str">
        <f t="shared" si="4"/>
        <v>[34X] Each Eligible Portable Engine, Registered Under Rule 12.1 (portable)</v>
      </c>
      <c r="E145" s="44" t="s">
        <v>441</v>
      </c>
      <c r="F145" s="44" t="s">
        <v>157</v>
      </c>
      <c r="G145" s="67">
        <v>917</v>
      </c>
      <c r="H145" s="69">
        <v>408</v>
      </c>
      <c r="I145" s="90" t="s">
        <v>372</v>
      </c>
      <c r="J145" s="90">
        <f>G145/$U$9</f>
        <v>2.911111111111111</v>
      </c>
      <c r="K145" s="91" t="str">
        <f>""</f>
        <v/>
      </c>
      <c r="L145" s="90" t="str">
        <f>""</f>
        <v/>
      </c>
      <c r="M145" s="90" t="str">
        <f>""</f>
        <v/>
      </c>
      <c r="N145" s="90" t="str">
        <f>""</f>
        <v/>
      </c>
      <c r="O145" s="90" t="str">
        <f>""</f>
        <v/>
      </c>
      <c r="P145" s="90">
        <v>1</v>
      </c>
      <c r="Q145" s="90" t="s">
        <v>257</v>
      </c>
      <c r="R145" s="90" t="str">
        <f t="shared" si="5"/>
        <v/>
      </c>
    </row>
    <row r="146" spans="1:18" ht="15" customHeight="1" x14ac:dyDescent="0.25">
      <c r="A146" s="103" t="s">
        <v>288</v>
      </c>
      <c r="B146" s="42"/>
      <c r="C146" s="42"/>
      <c r="D146" s="48"/>
      <c r="E146" s="42"/>
      <c r="F146" s="42"/>
      <c r="G146" s="61"/>
      <c r="H146" s="87"/>
      <c r="I146" s="88"/>
      <c r="J146" s="88"/>
      <c r="K146" s="88"/>
      <c r="L146" s="88"/>
      <c r="M146" s="88"/>
      <c r="N146" s="88"/>
      <c r="O146" s="88"/>
      <c r="P146" s="88"/>
      <c r="Q146" s="88"/>
      <c r="R146" s="90" t="str">
        <f t="shared" si="5"/>
        <v/>
      </c>
    </row>
    <row r="147" spans="1:18" ht="15" customHeight="1" x14ac:dyDescent="0.25">
      <c r="A147" s="63">
        <v>35</v>
      </c>
      <c r="B147" s="43" t="s">
        <v>39</v>
      </c>
      <c r="C147" s="48"/>
      <c r="D147" s="48" t="str">
        <f t="shared" si="4"/>
        <v>[35A] Each  Bulk Flour, Powdered Sugar and Dry Chemical Storage Systems</v>
      </c>
      <c r="E147" s="44" t="s">
        <v>442</v>
      </c>
      <c r="F147" s="44" t="s">
        <v>158</v>
      </c>
      <c r="G147" s="96" t="s">
        <v>41</v>
      </c>
      <c r="H147" s="69">
        <v>411</v>
      </c>
      <c r="I147" s="90">
        <v>16</v>
      </c>
      <c r="J147" s="90">
        <v>12</v>
      </c>
      <c r="K147" s="91" t="str">
        <f>""</f>
        <v/>
      </c>
      <c r="L147" s="90" t="str">
        <f>""</f>
        <v/>
      </c>
      <c r="M147" s="90" t="str">
        <f>""</f>
        <v/>
      </c>
      <c r="N147" s="90" t="str">
        <f>""</f>
        <v/>
      </c>
      <c r="O147" s="90" t="str">
        <f>""</f>
        <v/>
      </c>
      <c r="P147" s="90">
        <v>1</v>
      </c>
      <c r="Q147" s="90" t="s">
        <v>257</v>
      </c>
      <c r="R147" s="90" t="str">
        <f t="shared" si="5"/>
        <v/>
      </c>
    </row>
    <row r="148" spans="1:18" ht="12.95" customHeight="1" x14ac:dyDescent="0.25">
      <c r="A148" s="61" t="s">
        <v>289</v>
      </c>
      <c r="B148" s="42"/>
      <c r="C148" s="42"/>
      <c r="D148" s="48"/>
      <c r="E148" s="42"/>
      <c r="F148" s="42"/>
      <c r="G148" s="61"/>
      <c r="H148" s="87"/>
      <c r="I148" s="88"/>
      <c r="J148" s="88"/>
      <c r="K148" s="88"/>
      <c r="L148" s="88"/>
      <c r="M148" s="88"/>
      <c r="N148" s="88"/>
      <c r="O148" s="88"/>
      <c r="P148" s="88"/>
      <c r="Q148" s="88"/>
      <c r="R148" s="90" t="str">
        <f t="shared" si="5"/>
        <v/>
      </c>
    </row>
    <row r="149" spans="1:18" ht="12.95" customHeight="1" x14ac:dyDescent="0.25">
      <c r="A149" s="63">
        <v>36</v>
      </c>
      <c r="B149" s="43" t="s">
        <v>39</v>
      </c>
      <c r="C149" s="48"/>
      <c r="D149" s="48" t="str">
        <f t="shared" si="4"/>
        <v>[36A] Each Grinding Booth or Room</v>
      </c>
      <c r="E149" s="44" t="s">
        <v>443</v>
      </c>
      <c r="F149" s="44" t="s">
        <v>159</v>
      </c>
      <c r="G149" s="96" t="s">
        <v>41</v>
      </c>
      <c r="H149" s="69">
        <v>536</v>
      </c>
      <c r="I149" s="90">
        <v>11</v>
      </c>
      <c r="J149" s="90">
        <v>8</v>
      </c>
      <c r="K149" s="91" t="str">
        <f>""</f>
        <v/>
      </c>
      <c r="L149" s="90" t="str">
        <f>""</f>
        <v/>
      </c>
      <c r="M149" s="90" t="str">
        <f>""</f>
        <v/>
      </c>
      <c r="N149" s="90" t="str">
        <f>""</f>
        <v/>
      </c>
      <c r="O149" s="90" t="str">
        <f>""</f>
        <v/>
      </c>
      <c r="P149" s="90">
        <v>1</v>
      </c>
      <c r="Q149" s="90" t="s">
        <v>4</v>
      </c>
      <c r="R149" s="90">
        <f t="shared" si="5"/>
        <v>1</v>
      </c>
    </row>
    <row r="150" spans="1:18" ht="17.100000000000001" customHeight="1" x14ac:dyDescent="0.25">
      <c r="A150" s="103" t="s">
        <v>290</v>
      </c>
      <c r="B150" s="42"/>
      <c r="C150" s="42"/>
      <c r="D150" s="48"/>
      <c r="E150" s="42"/>
      <c r="F150" s="42"/>
      <c r="G150" s="61"/>
      <c r="H150" s="87"/>
      <c r="I150" s="88"/>
      <c r="J150" s="88"/>
      <c r="K150" s="88"/>
      <c r="L150" s="88"/>
      <c r="M150" s="88"/>
      <c r="N150" s="88"/>
      <c r="O150" s="88"/>
      <c r="P150" s="88"/>
      <c r="Q150" s="88"/>
      <c r="R150" s="90" t="str">
        <f t="shared" si="5"/>
        <v/>
      </c>
    </row>
    <row r="151" spans="1:18" ht="11.1" customHeight="1" x14ac:dyDescent="0.25">
      <c r="A151" s="63">
        <v>37</v>
      </c>
      <c r="B151" s="43" t="s">
        <v>39</v>
      </c>
      <c r="C151" s="48"/>
      <c r="D151" s="48" t="str">
        <f t="shared" si="4"/>
        <v>[37A] Each Plasma Electric and Ceramic Deposition Spray Booth/Application Station</v>
      </c>
      <c r="E151" s="44" t="s">
        <v>444</v>
      </c>
      <c r="F151" s="44" t="s">
        <v>160</v>
      </c>
      <c r="G151" s="96" t="s">
        <v>41</v>
      </c>
      <c r="H151" s="69">
        <v>683</v>
      </c>
      <c r="I151" s="90">
        <v>20</v>
      </c>
      <c r="J151" s="90">
        <v>20</v>
      </c>
      <c r="K151" s="91" t="str">
        <f>""</f>
        <v/>
      </c>
      <c r="L151" s="90" t="str">
        <f>""</f>
        <v/>
      </c>
      <c r="M151" s="90" t="str">
        <f>""</f>
        <v/>
      </c>
      <c r="N151" s="90" t="str">
        <f>""</f>
        <v/>
      </c>
      <c r="O151" s="90" t="str">
        <f>""</f>
        <v/>
      </c>
      <c r="P151" s="90">
        <v>1</v>
      </c>
      <c r="Q151" s="90" t="s">
        <v>4</v>
      </c>
      <c r="R151" s="90">
        <f t="shared" si="5"/>
        <v>1</v>
      </c>
    </row>
    <row r="152" spans="1:18" ht="12" customHeight="1" x14ac:dyDescent="0.25">
      <c r="A152" s="63">
        <v>37</v>
      </c>
      <c r="B152" s="43" t="s">
        <v>46</v>
      </c>
      <c r="C152" s="48"/>
      <c r="D152" s="48" t="str">
        <f t="shared" si="4"/>
        <v>[37C] Each Plasma Electric and Ceramic Deposition Spray Booths at Flame Spray (ID # APCD1976-SITE-00274)*</v>
      </c>
      <c r="E152" s="44" t="s">
        <v>445</v>
      </c>
      <c r="F152" s="44" t="s">
        <v>291</v>
      </c>
      <c r="G152" s="96" t="s">
        <v>41</v>
      </c>
      <c r="H152" s="69">
        <v>323</v>
      </c>
      <c r="I152" s="90">
        <v>20</v>
      </c>
      <c r="J152" s="90">
        <v>20</v>
      </c>
      <c r="K152" s="91" t="str">
        <f>""</f>
        <v/>
      </c>
      <c r="L152" s="90" t="str">
        <f>""</f>
        <v/>
      </c>
      <c r="M152" s="90" t="str">
        <f>""</f>
        <v/>
      </c>
      <c r="N152" s="90" t="str">
        <f>""</f>
        <v/>
      </c>
      <c r="O152" s="90" t="str">
        <f>""</f>
        <v/>
      </c>
      <c r="P152" s="90">
        <v>1</v>
      </c>
      <c r="Q152" s="90" t="s">
        <v>4</v>
      </c>
      <c r="R152" s="90">
        <f t="shared" si="5"/>
        <v>1</v>
      </c>
    </row>
    <row r="153" spans="1:18" ht="23.1" customHeight="1" x14ac:dyDescent="0.25">
      <c r="A153" s="103" t="s">
        <v>292</v>
      </c>
      <c r="B153" s="42"/>
      <c r="C153" s="42"/>
      <c r="D153" s="48"/>
      <c r="E153" s="42"/>
      <c r="F153" s="42"/>
      <c r="G153" s="61"/>
      <c r="H153" s="87"/>
      <c r="I153" s="88"/>
      <c r="J153" s="88"/>
      <c r="K153" s="88"/>
      <c r="L153" s="88"/>
      <c r="M153" s="88"/>
      <c r="N153" s="88"/>
      <c r="O153" s="88"/>
      <c r="P153" s="88"/>
      <c r="Q153" s="88"/>
      <c r="R153" s="90" t="str">
        <f t="shared" si="5"/>
        <v/>
      </c>
    </row>
    <row r="154" spans="1:18" ht="23.1" customHeight="1" x14ac:dyDescent="0.25">
      <c r="A154" s="63">
        <v>38</v>
      </c>
      <c r="B154" s="43" t="s">
        <v>39</v>
      </c>
      <c r="C154" s="48"/>
      <c r="D154" s="48" t="str">
        <f t="shared" si="4"/>
        <v>[38A] Each Process Line for Paint, Adhesive, Stain, or Ink Manufacturing at facilities producing &gt; 10,000 gallons per year</v>
      </c>
      <c r="E154" s="44" t="s">
        <v>161</v>
      </c>
      <c r="F154" s="44" t="s">
        <v>161</v>
      </c>
      <c r="G154" s="97" t="s">
        <v>41</v>
      </c>
      <c r="H154" s="70">
        <v>400</v>
      </c>
      <c r="I154" s="91">
        <v>20</v>
      </c>
      <c r="J154" s="91">
        <v>16</v>
      </c>
      <c r="K154" s="91" t="str">
        <f>""</f>
        <v/>
      </c>
      <c r="L154" s="90" t="str">
        <f>""</f>
        <v/>
      </c>
      <c r="M154" s="90" t="str">
        <f>""</f>
        <v/>
      </c>
      <c r="N154" s="90" t="str">
        <f>""</f>
        <v/>
      </c>
      <c r="O154" s="90" t="str">
        <f>""</f>
        <v/>
      </c>
      <c r="P154" s="90">
        <v>1</v>
      </c>
      <c r="Q154" s="91" t="s">
        <v>4</v>
      </c>
      <c r="R154" s="90">
        <f t="shared" si="5"/>
        <v>1</v>
      </c>
    </row>
    <row r="155" spans="1:18" ht="12" customHeight="1" x14ac:dyDescent="0.25">
      <c r="A155" s="63">
        <v>38</v>
      </c>
      <c r="B155" s="43" t="s">
        <v>43</v>
      </c>
      <c r="C155" s="48"/>
      <c r="D155" s="48" t="str">
        <f t="shared" si="4"/>
        <v>[38B] Each Paint, Adhesive, Stain, Ink, Solder Paste, and Dielectric Paste Can Filling Line</v>
      </c>
      <c r="E155" s="44" t="s">
        <v>446</v>
      </c>
      <c r="F155" s="44" t="s">
        <v>162</v>
      </c>
      <c r="G155" s="96" t="s">
        <v>41</v>
      </c>
      <c r="H155" s="69">
        <v>427</v>
      </c>
      <c r="I155" s="91">
        <v>20</v>
      </c>
      <c r="J155" s="91">
        <v>16</v>
      </c>
      <c r="K155" s="91" t="str">
        <f>""</f>
        <v/>
      </c>
      <c r="L155" s="90" t="str">
        <f>""</f>
        <v/>
      </c>
      <c r="M155" s="90" t="str">
        <f>""</f>
        <v/>
      </c>
      <c r="N155" s="90" t="str">
        <f>""</f>
        <v/>
      </c>
      <c r="O155" s="90" t="str">
        <f>""</f>
        <v/>
      </c>
      <c r="P155" s="90">
        <v>1</v>
      </c>
      <c r="Q155" s="90" t="s">
        <v>4</v>
      </c>
      <c r="R155" s="90">
        <f t="shared" si="5"/>
        <v>1</v>
      </c>
    </row>
    <row r="156" spans="1:18" ht="12" customHeight="1" x14ac:dyDescent="0.25">
      <c r="A156" s="63">
        <v>38</v>
      </c>
      <c r="B156" s="43" t="s">
        <v>46</v>
      </c>
      <c r="C156" s="48"/>
      <c r="D156" s="48" t="str">
        <f t="shared" si="4"/>
        <v>[38C] Each Process Line for Solder Paste or Dielectric Paste Manufacturing</v>
      </c>
      <c r="E156" s="44" t="s">
        <v>163</v>
      </c>
      <c r="F156" s="44" t="s">
        <v>163</v>
      </c>
      <c r="G156" s="96" t="s">
        <v>41</v>
      </c>
      <c r="H156" s="69">
        <v>479</v>
      </c>
      <c r="I156" s="91">
        <v>20</v>
      </c>
      <c r="J156" s="91">
        <v>16</v>
      </c>
      <c r="K156" s="91" t="str">
        <f>""</f>
        <v/>
      </c>
      <c r="L156" s="90" t="str">
        <f>""</f>
        <v/>
      </c>
      <c r="M156" s="90" t="str">
        <f>""</f>
        <v/>
      </c>
      <c r="N156" s="90" t="str">
        <f>""</f>
        <v/>
      </c>
      <c r="O156" s="90" t="str">
        <f>""</f>
        <v/>
      </c>
      <c r="P156" s="90">
        <v>1</v>
      </c>
      <c r="Q156" s="90" t="s">
        <v>4</v>
      </c>
      <c r="R156" s="90">
        <f t="shared" si="5"/>
        <v>1</v>
      </c>
    </row>
    <row r="157" spans="1:18" ht="23.1" customHeight="1" x14ac:dyDescent="0.25">
      <c r="A157" s="63"/>
      <c r="B157" s="43"/>
      <c r="C157" s="48"/>
      <c r="D157" s="48"/>
      <c r="E157" s="45"/>
      <c r="F157" s="45"/>
      <c r="G157" s="97"/>
      <c r="H157" s="70"/>
      <c r="I157" s="91"/>
      <c r="J157" s="91"/>
      <c r="K157" s="91"/>
      <c r="L157" s="90"/>
      <c r="M157" s="90"/>
      <c r="N157" s="90"/>
      <c r="O157" s="90"/>
      <c r="P157" s="90"/>
      <c r="Q157" s="91"/>
      <c r="R157" s="90"/>
    </row>
    <row r="158" spans="1:18" ht="12" customHeight="1" x14ac:dyDescent="0.25">
      <c r="A158" s="63"/>
      <c r="B158" s="43"/>
      <c r="C158" s="48"/>
      <c r="D158" s="48"/>
      <c r="E158" s="44"/>
      <c r="F158" s="44"/>
      <c r="G158" s="96"/>
      <c r="H158" s="69"/>
      <c r="I158" s="91"/>
      <c r="J158" s="91"/>
      <c r="K158" s="91"/>
      <c r="L158" s="90"/>
      <c r="M158" s="90"/>
      <c r="N158" s="90"/>
      <c r="O158" s="90"/>
      <c r="P158" s="90"/>
      <c r="Q158" s="90"/>
      <c r="R158" s="90"/>
    </row>
    <row r="159" spans="1:18" ht="17.100000000000001" customHeight="1" x14ac:dyDescent="0.25">
      <c r="A159" s="61" t="s">
        <v>293</v>
      </c>
      <c r="B159" s="42"/>
      <c r="C159" s="42"/>
      <c r="D159" s="48"/>
      <c r="E159" s="42"/>
      <c r="F159" s="42"/>
      <c r="G159" s="61"/>
      <c r="H159" s="87"/>
      <c r="I159" s="88"/>
      <c r="J159" s="88"/>
      <c r="K159" s="88"/>
      <c r="L159" s="88"/>
      <c r="M159" s="88"/>
      <c r="N159" s="88"/>
      <c r="O159" s="88"/>
      <c r="P159" s="88"/>
      <c r="Q159" s="88"/>
      <c r="R159" s="90" t="str">
        <f t="shared" si="5"/>
        <v/>
      </c>
    </row>
    <row r="160" spans="1:18" ht="11.1" customHeight="1" x14ac:dyDescent="0.25">
      <c r="A160" s="63">
        <v>39</v>
      </c>
      <c r="B160" s="43" t="s">
        <v>39</v>
      </c>
      <c r="C160" s="48"/>
      <c r="D160" s="48" t="str">
        <f t="shared" si="4"/>
        <v>[39A] Each Precious Metals Refining Process Line</v>
      </c>
      <c r="E160" s="44" t="s">
        <v>447</v>
      </c>
      <c r="F160" s="44" t="s">
        <v>164</v>
      </c>
      <c r="G160" s="96" t="s">
        <v>41</v>
      </c>
      <c r="H160" s="69">
        <v>739</v>
      </c>
      <c r="I160" s="90">
        <v>24</v>
      </c>
      <c r="J160" s="90">
        <v>20</v>
      </c>
      <c r="K160" s="91" t="str">
        <f>""</f>
        <v/>
      </c>
      <c r="L160" s="90" t="str">
        <f>""</f>
        <v/>
      </c>
      <c r="M160" s="90" t="str">
        <f>""</f>
        <v/>
      </c>
      <c r="N160" s="90" t="str">
        <f>""</f>
        <v/>
      </c>
      <c r="O160" s="90" t="str">
        <f>""</f>
        <v/>
      </c>
      <c r="P160" s="90">
        <v>1</v>
      </c>
      <c r="Q160" s="90" t="s">
        <v>4</v>
      </c>
      <c r="R160" s="90">
        <f t="shared" si="5"/>
        <v>1</v>
      </c>
    </row>
    <row r="161" spans="1:18" ht="15.95" customHeight="1" x14ac:dyDescent="0.25">
      <c r="A161" s="61" t="s">
        <v>294</v>
      </c>
      <c r="B161" s="42"/>
      <c r="C161" s="42"/>
      <c r="D161" s="48"/>
      <c r="E161" s="42"/>
      <c r="F161" s="42"/>
      <c r="G161" s="61"/>
      <c r="H161" s="87"/>
      <c r="I161" s="88"/>
      <c r="J161" s="88"/>
      <c r="K161" s="88"/>
      <c r="L161" s="88"/>
      <c r="M161" s="88"/>
      <c r="N161" s="88"/>
      <c r="O161" s="88"/>
      <c r="P161" s="88"/>
      <c r="Q161" s="88"/>
      <c r="R161" s="90" t="str">
        <f t="shared" si="5"/>
        <v/>
      </c>
    </row>
    <row r="162" spans="1:18" ht="23.1" customHeight="1" x14ac:dyDescent="0.25">
      <c r="A162" s="63">
        <v>40</v>
      </c>
      <c r="B162" s="43" t="s">
        <v>51</v>
      </c>
      <c r="C162" s="48"/>
      <c r="D162" s="48" t="str">
        <f t="shared" si="4"/>
        <v>[40X] Each Portable Unheated Pavement Crushing and Recycling System, Registration Under Rule 12.1 (Portable)</v>
      </c>
      <c r="E162" s="44" t="s">
        <v>448</v>
      </c>
      <c r="F162" s="44" t="s">
        <v>165</v>
      </c>
      <c r="G162" s="75">
        <v>1091</v>
      </c>
      <c r="H162" s="70">
        <v>375</v>
      </c>
      <c r="I162" s="91" t="s">
        <v>372</v>
      </c>
      <c r="J162" s="90">
        <f>G162/$U$9</f>
        <v>3.4634920634920636</v>
      </c>
      <c r="K162" s="91" t="str">
        <f>""</f>
        <v/>
      </c>
      <c r="L162" s="90" t="str">
        <f>""</f>
        <v/>
      </c>
      <c r="M162" s="90" t="str">
        <f>""</f>
        <v/>
      </c>
      <c r="N162" s="90" t="str">
        <f>""</f>
        <v/>
      </c>
      <c r="O162" s="90" t="str">
        <f>""</f>
        <v/>
      </c>
      <c r="P162" s="90">
        <v>1</v>
      </c>
      <c r="Q162" s="91" t="s">
        <v>257</v>
      </c>
      <c r="R162" s="90" t="str">
        <f t="shared" si="5"/>
        <v/>
      </c>
    </row>
    <row r="163" spans="1:18" ht="17.100000000000001" customHeight="1" x14ac:dyDescent="0.25">
      <c r="A163" s="61" t="s">
        <v>295</v>
      </c>
      <c r="B163" s="42"/>
      <c r="C163" s="42"/>
      <c r="D163" s="48"/>
      <c r="E163" s="42"/>
      <c r="F163" s="42"/>
      <c r="G163" s="61"/>
      <c r="H163" s="87"/>
      <c r="I163" s="88"/>
      <c r="J163" s="88"/>
      <c r="K163" s="88"/>
      <c r="L163" s="88"/>
      <c r="M163" s="88"/>
      <c r="N163" s="88"/>
      <c r="O163" s="88"/>
      <c r="P163" s="88"/>
      <c r="Q163" s="88"/>
      <c r="R163" s="90" t="str">
        <f t="shared" si="5"/>
        <v/>
      </c>
    </row>
    <row r="164" spans="1:18" ht="17.100000000000001" customHeight="1" x14ac:dyDescent="0.25">
      <c r="A164" s="63">
        <v>41</v>
      </c>
      <c r="B164" s="43" t="s">
        <v>39</v>
      </c>
      <c r="C164" s="48"/>
      <c r="D164" s="48" t="str">
        <f t="shared" ref="D164:D208" si="7">_xlfn.CONCAT("[",A164,B164,"]"," ",E164)</f>
        <v>[41A] Each Perlite Process Line</v>
      </c>
      <c r="E164" s="44" t="s">
        <v>449</v>
      </c>
      <c r="F164" s="44" t="s">
        <v>164</v>
      </c>
      <c r="G164" s="96" t="s">
        <v>41</v>
      </c>
      <c r="H164" s="69">
        <v>582</v>
      </c>
      <c r="I164" s="91">
        <v>20</v>
      </c>
      <c r="J164" s="91">
        <v>16</v>
      </c>
      <c r="K164" s="91" t="str">
        <f>""</f>
        <v/>
      </c>
      <c r="L164" s="90" t="str">
        <f>""</f>
        <v/>
      </c>
      <c r="M164" s="90" t="str">
        <f>""</f>
        <v/>
      </c>
      <c r="N164" s="90" t="str">
        <f>""</f>
        <v/>
      </c>
      <c r="O164" s="90" t="str">
        <f>""</f>
        <v/>
      </c>
      <c r="P164" s="90">
        <v>1</v>
      </c>
      <c r="Q164" s="90" t="s">
        <v>4</v>
      </c>
      <c r="R164" s="90">
        <f t="shared" ref="R164:R208" si="8">IF(Q164="Yes", 1, "")</f>
        <v>1</v>
      </c>
    </row>
    <row r="165" spans="1:18" ht="17.100000000000001" customHeight="1" x14ac:dyDescent="0.25">
      <c r="A165" s="63">
        <v>41</v>
      </c>
      <c r="B165" s="43" t="s">
        <v>43</v>
      </c>
      <c r="C165" s="48"/>
      <c r="D165" s="48" t="str">
        <f t="shared" si="7"/>
        <v>[41B] Each Perlite Process Line (Aztec Perlite) (ID # APCD1978-SITE-01598)*</v>
      </c>
      <c r="E165" s="44" t="s">
        <v>450</v>
      </c>
      <c r="F165" s="44" t="s">
        <v>166</v>
      </c>
      <c r="G165" s="96" t="s">
        <v>41</v>
      </c>
      <c r="H165" s="69">
        <v>1341</v>
      </c>
      <c r="I165" s="91">
        <v>20</v>
      </c>
      <c r="J165" s="91">
        <v>16</v>
      </c>
      <c r="K165" s="91" t="str">
        <f>""</f>
        <v/>
      </c>
      <c r="L165" s="90" t="str">
        <f>""</f>
        <v/>
      </c>
      <c r="M165" s="90" t="str">
        <f>""</f>
        <v/>
      </c>
      <c r="N165" s="90" t="str">
        <f>""</f>
        <v/>
      </c>
      <c r="O165" s="90" t="str">
        <f>""</f>
        <v/>
      </c>
      <c r="P165" s="90">
        <v>1</v>
      </c>
      <c r="Q165" s="90" t="s">
        <v>4</v>
      </c>
      <c r="R165" s="90">
        <f t="shared" si="8"/>
        <v>1</v>
      </c>
    </row>
    <row r="166" spans="1:18" ht="17.100000000000001" customHeight="1" x14ac:dyDescent="0.25">
      <c r="A166" s="103" t="s">
        <v>296</v>
      </c>
      <c r="B166" s="42"/>
      <c r="C166" s="42"/>
      <c r="D166" s="48"/>
      <c r="E166" s="42"/>
      <c r="F166" s="42"/>
      <c r="G166" s="61"/>
      <c r="H166" s="87"/>
      <c r="I166" s="88"/>
      <c r="J166" s="88"/>
      <c r="K166" s="88"/>
      <c r="L166" s="88"/>
      <c r="M166" s="88"/>
      <c r="N166" s="88"/>
      <c r="O166" s="88"/>
      <c r="P166" s="88"/>
      <c r="Q166" s="88"/>
      <c r="R166" s="90" t="str">
        <f t="shared" si="8"/>
        <v/>
      </c>
    </row>
    <row r="167" spans="1:18" ht="12.95" customHeight="1" x14ac:dyDescent="0.25">
      <c r="A167" s="63">
        <v>42</v>
      </c>
      <c r="B167" s="43" t="s">
        <v>39</v>
      </c>
      <c r="C167" s="48"/>
      <c r="D167" s="48" t="str">
        <f t="shared" si="7"/>
        <v>[42A] Each Electronic Component Manufacturing Process Line</v>
      </c>
      <c r="E167" s="44" t="s">
        <v>451</v>
      </c>
      <c r="F167" s="44" t="s">
        <v>164</v>
      </c>
      <c r="G167" s="96" t="s">
        <v>41</v>
      </c>
      <c r="H167" s="69">
        <v>693</v>
      </c>
      <c r="I167" s="91">
        <v>20</v>
      </c>
      <c r="J167" s="91">
        <v>16</v>
      </c>
      <c r="K167" s="91" t="str">
        <f>""</f>
        <v/>
      </c>
      <c r="L167" s="90" t="str">
        <f>""</f>
        <v/>
      </c>
      <c r="M167" s="90" t="str">
        <f>""</f>
        <v/>
      </c>
      <c r="N167" s="90" t="str">
        <f>""</f>
        <v/>
      </c>
      <c r="O167" s="90" t="str">
        <f>""</f>
        <v/>
      </c>
      <c r="P167" s="90">
        <v>1</v>
      </c>
      <c r="Q167" s="90" t="s">
        <v>4</v>
      </c>
      <c r="R167" s="90">
        <f t="shared" si="8"/>
        <v>1</v>
      </c>
    </row>
    <row r="168" spans="1:18" ht="18" customHeight="1" x14ac:dyDescent="0.25">
      <c r="A168" s="63">
        <v>42</v>
      </c>
      <c r="B168" s="43" t="s">
        <v>43</v>
      </c>
      <c r="C168" s="48"/>
      <c r="D168" s="48" t="str">
        <f t="shared" si="7"/>
        <v>[42B] Each Electronic Component Screen Printing Operation</v>
      </c>
      <c r="E168" s="44" t="s">
        <v>452</v>
      </c>
      <c r="F168" s="44" t="s">
        <v>167</v>
      </c>
      <c r="G168" s="96" t="s">
        <v>41</v>
      </c>
      <c r="H168" s="69">
        <v>737</v>
      </c>
      <c r="I168" s="91">
        <v>20</v>
      </c>
      <c r="J168" s="91">
        <v>16</v>
      </c>
      <c r="K168" s="91" t="str">
        <f>""</f>
        <v/>
      </c>
      <c r="L168" s="90" t="str">
        <f>""</f>
        <v/>
      </c>
      <c r="M168" s="90" t="str">
        <f>""</f>
        <v/>
      </c>
      <c r="N168" s="90" t="str">
        <f>""</f>
        <v/>
      </c>
      <c r="O168" s="90" t="str">
        <f>""</f>
        <v/>
      </c>
      <c r="P168" s="90">
        <v>1</v>
      </c>
      <c r="Q168" s="90" t="s">
        <v>4</v>
      </c>
      <c r="R168" s="90">
        <f t="shared" si="8"/>
        <v>1</v>
      </c>
    </row>
    <row r="169" spans="1:18" ht="23.1" customHeight="1" x14ac:dyDescent="0.25">
      <c r="A169" s="63">
        <v>42</v>
      </c>
      <c r="B169" s="43" t="s">
        <v>46</v>
      </c>
      <c r="C169" s="48"/>
      <c r="D169" s="48" t="str">
        <f t="shared" si="7"/>
        <v>[42C] Each Electronic Component Coating/Maskant Application Operation, excluding Conformal Operation</v>
      </c>
      <c r="E169" s="44" t="s">
        <v>453</v>
      </c>
      <c r="F169" s="44" t="s">
        <v>168</v>
      </c>
      <c r="G169" s="97" t="s">
        <v>41</v>
      </c>
      <c r="H169" s="70">
        <v>846</v>
      </c>
      <c r="I169" s="91">
        <v>20</v>
      </c>
      <c r="J169" s="91">
        <v>16</v>
      </c>
      <c r="K169" s="91" t="str">
        <f>""</f>
        <v/>
      </c>
      <c r="L169" s="90" t="str">
        <f>""</f>
        <v/>
      </c>
      <c r="M169" s="90" t="str">
        <f>""</f>
        <v/>
      </c>
      <c r="N169" s="90" t="str">
        <f>""</f>
        <v/>
      </c>
      <c r="O169" s="90" t="str">
        <f>""</f>
        <v/>
      </c>
      <c r="P169" s="90">
        <v>1</v>
      </c>
      <c r="Q169" s="91" t="s">
        <v>4</v>
      </c>
      <c r="R169" s="90">
        <f t="shared" si="8"/>
        <v>1</v>
      </c>
    </row>
    <row r="170" spans="1:18" ht="12" customHeight="1" x14ac:dyDescent="0.25">
      <c r="A170" s="63">
        <v>42</v>
      </c>
      <c r="B170" s="43" t="s">
        <v>49</v>
      </c>
      <c r="C170" s="48"/>
      <c r="D170" s="48" t="str">
        <f t="shared" si="7"/>
        <v>[42D] Each Electronic Component Conformal Coating Operation</v>
      </c>
      <c r="E170" s="44" t="s">
        <v>454</v>
      </c>
      <c r="F170" s="44" t="s">
        <v>169</v>
      </c>
      <c r="G170" s="96" t="s">
        <v>41</v>
      </c>
      <c r="H170" s="69">
        <v>1136</v>
      </c>
      <c r="I170" s="91">
        <v>20</v>
      </c>
      <c r="J170" s="91">
        <v>16</v>
      </c>
      <c r="K170" s="91" t="str">
        <f>""</f>
        <v/>
      </c>
      <c r="L170" s="90" t="str">
        <f>""</f>
        <v/>
      </c>
      <c r="M170" s="90" t="str">
        <f>""</f>
        <v/>
      </c>
      <c r="N170" s="90" t="str">
        <f>""</f>
        <v/>
      </c>
      <c r="O170" s="90" t="str">
        <f>""</f>
        <v/>
      </c>
      <c r="P170" s="90">
        <v>1</v>
      </c>
      <c r="Q170" s="90" t="s">
        <v>4</v>
      </c>
      <c r="R170" s="90">
        <f t="shared" si="8"/>
        <v>1</v>
      </c>
    </row>
    <row r="171" spans="1:18" ht="12.95" customHeight="1" x14ac:dyDescent="0.25">
      <c r="A171" s="103" t="s">
        <v>297</v>
      </c>
      <c r="B171" s="42"/>
      <c r="C171" s="42"/>
      <c r="D171" s="48"/>
      <c r="E171" s="42"/>
      <c r="F171" s="42"/>
      <c r="G171" s="61"/>
      <c r="H171" s="87"/>
      <c r="I171" s="88"/>
      <c r="J171" s="88"/>
      <c r="K171" s="88"/>
      <c r="L171" s="88"/>
      <c r="M171" s="88"/>
      <c r="N171" s="88"/>
      <c r="O171" s="88"/>
      <c r="P171" s="88"/>
      <c r="Q171" s="88"/>
      <c r="R171" s="90" t="str">
        <f t="shared" si="8"/>
        <v/>
      </c>
    </row>
    <row r="172" spans="1:18" ht="12" customHeight="1" x14ac:dyDescent="0.25">
      <c r="A172" s="63">
        <v>43</v>
      </c>
      <c r="B172" s="43" t="s">
        <v>39</v>
      </c>
      <c r="C172" s="48"/>
      <c r="D172" s="48" t="str">
        <f t="shared" si="7"/>
        <v>[43A] Each Ceramic Slip Casting Process Line</v>
      </c>
      <c r="E172" s="44" t="s">
        <v>455</v>
      </c>
      <c r="F172" s="44" t="s">
        <v>164</v>
      </c>
      <c r="G172" s="96" t="s">
        <v>41</v>
      </c>
      <c r="H172" s="69">
        <v>418</v>
      </c>
      <c r="I172" s="91">
        <v>20</v>
      </c>
      <c r="J172" s="91">
        <v>16</v>
      </c>
      <c r="K172" s="91" t="str">
        <f>""</f>
        <v/>
      </c>
      <c r="L172" s="90" t="str">
        <f>""</f>
        <v/>
      </c>
      <c r="M172" s="90" t="str">
        <f>""</f>
        <v/>
      </c>
      <c r="N172" s="90" t="str">
        <f>""</f>
        <v/>
      </c>
      <c r="O172" s="90" t="str">
        <f>""</f>
        <v/>
      </c>
      <c r="P172" s="90">
        <v>1</v>
      </c>
      <c r="Q172" s="90" t="s">
        <v>4</v>
      </c>
      <c r="R172" s="90">
        <f t="shared" si="8"/>
        <v>1</v>
      </c>
    </row>
    <row r="173" spans="1:18" ht="15" customHeight="1" x14ac:dyDescent="0.25">
      <c r="A173" s="61" t="s">
        <v>298</v>
      </c>
      <c r="B173" s="42"/>
      <c r="C173" s="42"/>
      <c r="D173" s="48"/>
      <c r="E173" s="42"/>
      <c r="F173" s="42"/>
      <c r="G173" s="61"/>
      <c r="H173" s="87"/>
      <c r="I173" s="88"/>
      <c r="J173" s="88"/>
      <c r="K173" s="88"/>
      <c r="L173" s="88"/>
      <c r="M173" s="88"/>
      <c r="N173" s="88"/>
      <c r="O173" s="88"/>
      <c r="P173" s="88"/>
      <c r="Q173" s="88"/>
      <c r="R173" s="90" t="str">
        <f t="shared" si="8"/>
        <v/>
      </c>
    </row>
    <row r="174" spans="1:18" ht="23.1" customHeight="1" x14ac:dyDescent="0.25">
      <c r="A174" s="63">
        <v>44</v>
      </c>
      <c r="B174" s="43" t="s">
        <v>39</v>
      </c>
      <c r="C174" s="48"/>
      <c r="D174" s="48" t="str">
        <f t="shared" si="7"/>
        <v>[44A] Each Evaporator and Dryer [other than those referenced in Fee Schedule 30 (a)] processing materials containing volatile organic compounds</v>
      </c>
      <c r="E174" s="44" t="s">
        <v>456</v>
      </c>
      <c r="F174" s="44" t="s">
        <v>170</v>
      </c>
      <c r="G174" s="97" t="s">
        <v>41</v>
      </c>
      <c r="H174" s="70">
        <v>519</v>
      </c>
      <c r="I174" s="91">
        <v>24</v>
      </c>
      <c r="J174" s="91">
        <v>20</v>
      </c>
      <c r="K174" s="91" t="str">
        <f>""</f>
        <v/>
      </c>
      <c r="L174" s="90" t="str">
        <f>""</f>
        <v/>
      </c>
      <c r="M174" s="90" t="str">
        <f>""</f>
        <v/>
      </c>
      <c r="N174" s="90" t="str">
        <f>""</f>
        <v/>
      </c>
      <c r="O174" s="90" t="str">
        <f>""</f>
        <v/>
      </c>
      <c r="P174" s="90">
        <v>1</v>
      </c>
      <c r="Q174" s="91" t="s">
        <v>4</v>
      </c>
      <c r="R174" s="90">
        <f t="shared" si="8"/>
        <v>1</v>
      </c>
    </row>
    <row r="175" spans="1:18" ht="23.1" customHeight="1" x14ac:dyDescent="0.25">
      <c r="A175" s="63">
        <v>44</v>
      </c>
      <c r="B175" s="43" t="s">
        <v>43</v>
      </c>
      <c r="C175" s="48"/>
      <c r="D175" s="48" t="str">
        <f t="shared" si="7"/>
        <v>[44B] Each Solvent Recovery Still, on-site, batch-type, solvent usage &gt; 350 gallons per day</v>
      </c>
      <c r="E175" s="44" t="s">
        <v>457</v>
      </c>
      <c r="F175" s="44" t="s">
        <v>171</v>
      </c>
      <c r="G175" s="97" t="s">
        <v>41</v>
      </c>
      <c r="H175" s="70">
        <v>529</v>
      </c>
      <c r="I175" s="91">
        <v>10</v>
      </c>
      <c r="J175" s="91">
        <v>8</v>
      </c>
      <c r="K175" s="91" t="str">
        <f>""</f>
        <v/>
      </c>
      <c r="L175" s="90" t="str">
        <f>""</f>
        <v/>
      </c>
      <c r="M175" s="90" t="str">
        <f>""</f>
        <v/>
      </c>
      <c r="N175" s="90" t="str">
        <f>""</f>
        <v/>
      </c>
      <c r="O175" s="90" t="str">
        <f>""</f>
        <v/>
      </c>
      <c r="P175" s="90">
        <v>1</v>
      </c>
      <c r="Q175" s="91" t="s">
        <v>4</v>
      </c>
      <c r="R175" s="90">
        <f t="shared" si="8"/>
        <v>1</v>
      </c>
    </row>
    <row r="176" spans="1:18" ht="17.100000000000001" customHeight="1" x14ac:dyDescent="0.25">
      <c r="A176" s="103" t="s">
        <v>299</v>
      </c>
      <c r="B176" s="42"/>
      <c r="C176" s="42"/>
      <c r="D176" s="48"/>
      <c r="E176" s="42"/>
      <c r="F176" s="42"/>
      <c r="G176" s="61"/>
      <c r="H176" s="87"/>
      <c r="I176" s="88"/>
      <c r="J176" s="88"/>
      <c r="K176" s="88"/>
      <c r="L176" s="88"/>
      <c r="M176" s="88"/>
      <c r="N176" s="88"/>
      <c r="O176" s="88"/>
      <c r="P176" s="88"/>
      <c r="Q176" s="88"/>
      <c r="R176" s="90" t="str">
        <f t="shared" si="8"/>
        <v/>
      </c>
    </row>
    <row r="177" spans="1:18" ht="18" customHeight="1" x14ac:dyDescent="0.25">
      <c r="A177" s="63">
        <v>46</v>
      </c>
      <c r="B177" s="43" t="s">
        <v>39</v>
      </c>
      <c r="C177" s="48"/>
      <c r="D177" s="48" t="str">
        <f t="shared" si="7"/>
        <v>[46A] Each Filtration Membrane Manufacturing Process Line</v>
      </c>
      <c r="E177" s="44" t="s">
        <v>458</v>
      </c>
      <c r="F177" s="44" t="s">
        <v>164</v>
      </c>
      <c r="G177" s="96" t="s">
        <v>41</v>
      </c>
      <c r="H177" s="69">
        <v>785</v>
      </c>
      <c r="I177" s="90">
        <v>20</v>
      </c>
      <c r="J177" s="90">
        <v>16</v>
      </c>
      <c r="K177" s="91" t="str">
        <f>""</f>
        <v/>
      </c>
      <c r="L177" s="90" t="str">
        <f>""</f>
        <v/>
      </c>
      <c r="M177" s="90" t="str">
        <f>""</f>
        <v/>
      </c>
      <c r="N177" s="90" t="str">
        <f>""</f>
        <v/>
      </c>
      <c r="O177" s="90" t="str">
        <f>""</f>
        <v/>
      </c>
      <c r="P177" s="90">
        <v>1</v>
      </c>
      <c r="Q177" s="90" t="s">
        <v>4</v>
      </c>
      <c r="R177" s="90">
        <f t="shared" si="8"/>
        <v>1</v>
      </c>
    </row>
    <row r="178" spans="1:18" ht="12.95" customHeight="1" x14ac:dyDescent="0.25">
      <c r="A178" s="61" t="s">
        <v>300</v>
      </c>
      <c r="B178" s="42"/>
      <c r="C178" s="42"/>
      <c r="D178" s="48"/>
      <c r="E178" s="42"/>
      <c r="F178" s="42"/>
      <c r="G178" s="61"/>
      <c r="H178" s="87"/>
      <c r="I178" s="88"/>
      <c r="J178" s="88"/>
      <c r="K178" s="88"/>
      <c r="L178" s="88"/>
      <c r="M178" s="88"/>
      <c r="N178" s="88"/>
      <c r="O178" s="88"/>
      <c r="P178" s="88"/>
      <c r="Q178" s="88"/>
      <c r="R178" s="90" t="str">
        <f t="shared" si="8"/>
        <v/>
      </c>
    </row>
    <row r="179" spans="1:18" ht="18" customHeight="1" x14ac:dyDescent="0.25">
      <c r="A179" s="63">
        <v>47</v>
      </c>
      <c r="B179" s="43" t="s">
        <v>39</v>
      </c>
      <c r="C179" s="48"/>
      <c r="D179" s="48" t="str">
        <f t="shared" si="7"/>
        <v>[47A] Each Organic Gas Sterilizer requiring control</v>
      </c>
      <c r="E179" s="44" t="s">
        <v>172</v>
      </c>
      <c r="F179" s="44" t="s">
        <v>172</v>
      </c>
      <c r="G179" s="96" t="s">
        <v>41</v>
      </c>
      <c r="H179" s="69">
        <v>372</v>
      </c>
      <c r="I179" s="90">
        <v>24</v>
      </c>
      <c r="J179" s="90">
        <v>20</v>
      </c>
      <c r="K179" s="91" t="str">
        <f>""</f>
        <v/>
      </c>
      <c r="L179" s="90" t="str">
        <f>""</f>
        <v/>
      </c>
      <c r="M179" s="90" t="str">
        <f>""</f>
        <v/>
      </c>
      <c r="N179" s="90" t="str">
        <f>""</f>
        <v/>
      </c>
      <c r="O179" s="90" t="str">
        <f>""</f>
        <v/>
      </c>
      <c r="P179" s="90">
        <v>1</v>
      </c>
      <c r="Q179" s="90" t="s">
        <v>4</v>
      </c>
      <c r="R179" s="90">
        <f t="shared" si="8"/>
        <v>1</v>
      </c>
    </row>
    <row r="180" spans="1:18" ht="12" customHeight="1" x14ac:dyDescent="0.25">
      <c r="A180" s="61" t="s">
        <v>301</v>
      </c>
      <c r="B180" s="42"/>
      <c r="C180" s="42"/>
      <c r="D180" s="48"/>
      <c r="E180" s="42"/>
      <c r="F180" s="42"/>
      <c r="G180" s="61"/>
      <c r="H180" s="87"/>
      <c r="I180" s="88"/>
      <c r="J180" s="88"/>
      <c r="K180" s="88"/>
      <c r="L180" s="88"/>
      <c r="M180" s="88"/>
      <c r="N180" s="88"/>
      <c r="O180" s="88"/>
      <c r="P180" s="88"/>
      <c r="Q180" s="88"/>
      <c r="R180" s="90" t="str">
        <f t="shared" si="8"/>
        <v/>
      </c>
    </row>
    <row r="181" spans="1:18" ht="23.1" customHeight="1" x14ac:dyDescent="0.25">
      <c r="A181" s="63">
        <v>48</v>
      </c>
      <c r="B181" s="43" t="s">
        <v>39</v>
      </c>
      <c r="C181" s="48"/>
      <c r="D181" s="48" t="str">
        <f t="shared" si="7"/>
        <v>[48A] Municipal Waste Storage and Processing (Landfill) - not subject to the ARB Methane Emissions Regulation</v>
      </c>
      <c r="E181" s="44" t="s">
        <v>459</v>
      </c>
      <c r="F181" s="44" t="s">
        <v>173</v>
      </c>
      <c r="G181" s="97" t="s">
        <v>41</v>
      </c>
      <c r="H181" s="70">
        <v>1763</v>
      </c>
      <c r="I181" s="91">
        <v>50</v>
      </c>
      <c r="J181" s="91">
        <v>30</v>
      </c>
      <c r="L181" s="91" t="str">
        <f>""</f>
        <v/>
      </c>
      <c r="M181" s="91" t="str">
        <f>""</f>
        <v/>
      </c>
      <c r="N181" s="91"/>
      <c r="O181" s="91" t="str">
        <f>""</f>
        <v/>
      </c>
      <c r="P181" s="91">
        <v>20</v>
      </c>
      <c r="Q181" s="91" t="s">
        <v>4</v>
      </c>
      <c r="R181" s="90">
        <f t="shared" si="8"/>
        <v>1</v>
      </c>
    </row>
    <row r="182" spans="1:18" ht="23.1" customHeight="1" x14ac:dyDescent="0.25">
      <c r="A182" s="63">
        <v>48</v>
      </c>
      <c r="B182" s="43" t="s">
        <v>46</v>
      </c>
      <c r="C182" s="48"/>
      <c r="D182" s="48" t="str">
        <f t="shared" si="7"/>
        <v>[48C] Municipal Waste Storage and Processing (Landfill) - subject to the ARB Methane Emissions Regulation</v>
      </c>
      <c r="E182" s="44" t="s">
        <v>460</v>
      </c>
      <c r="F182" s="44" t="s">
        <v>174</v>
      </c>
      <c r="G182" s="97" t="s">
        <v>41</v>
      </c>
      <c r="H182" s="70">
        <v>6234</v>
      </c>
      <c r="I182" s="91">
        <v>60</v>
      </c>
      <c r="J182" s="91">
        <v>40</v>
      </c>
      <c r="L182" s="91" t="str">
        <f>""</f>
        <v/>
      </c>
      <c r="M182" s="91" t="str">
        <f>""</f>
        <v/>
      </c>
      <c r="N182" s="91"/>
      <c r="O182" s="91" t="str">
        <f>""</f>
        <v/>
      </c>
      <c r="P182" s="91">
        <v>30</v>
      </c>
      <c r="Q182" s="91" t="s">
        <v>4</v>
      </c>
      <c r="R182" s="90">
        <f t="shared" si="8"/>
        <v>1</v>
      </c>
    </row>
    <row r="183" spans="1:18" ht="12" customHeight="1" x14ac:dyDescent="0.25">
      <c r="A183" s="61" t="s">
        <v>302</v>
      </c>
      <c r="B183" s="42"/>
      <c r="C183" s="42"/>
      <c r="D183" s="48"/>
      <c r="E183" s="42"/>
      <c r="F183" s="42"/>
      <c r="G183" s="61"/>
      <c r="H183" s="87"/>
      <c r="I183" s="88"/>
      <c r="J183" s="88"/>
      <c r="K183" s="88"/>
      <c r="L183" s="88"/>
      <c r="M183" s="88"/>
      <c r="N183" s="88"/>
      <c r="O183" s="88"/>
      <c r="P183" s="88"/>
      <c r="Q183" s="88"/>
      <c r="R183" s="90" t="str">
        <f t="shared" si="8"/>
        <v/>
      </c>
    </row>
    <row r="184" spans="1:18" ht="17.100000000000001" customHeight="1" x14ac:dyDescent="0.25">
      <c r="A184" s="63">
        <v>49</v>
      </c>
      <c r="B184" s="43" t="s">
        <v>39</v>
      </c>
      <c r="C184" s="48"/>
      <c r="D184" s="48"/>
      <c r="E184" s="44" t="s">
        <v>175</v>
      </c>
      <c r="F184" s="44" t="s">
        <v>175</v>
      </c>
      <c r="G184" s="67">
        <v>367</v>
      </c>
      <c r="H184" s="69">
        <v>431</v>
      </c>
      <c r="I184" s="90" t="s">
        <v>372</v>
      </c>
      <c r="J184" s="90">
        <f>G184/$U$9</f>
        <v>1.1650793650793652</v>
      </c>
      <c r="K184" s="90" t="str">
        <f>""</f>
        <v/>
      </c>
      <c r="L184" s="90" t="str">
        <f>""</f>
        <v/>
      </c>
      <c r="M184" s="90" t="str">
        <f>""</f>
        <v/>
      </c>
      <c r="N184" s="90" t="str">
        <f>""</f>
        <v/>
      </c>
      <c r="O184" s="90" t="str">
        <f>""</f>
        <v/>
      </c>
      <c r="P184" s="90">
        <v>1</v>
      </c>
      <c r="Q184" s="90" t="s">
        <v>257</v>
      </c>
      <c r="R184" s="90" t="str">
        <f t="shared" si="8"/>
        <v/>
      </c>
    </row>
    <row r="185" spans="1:18" ht="18" customHeight="1" x14ac:dyDescent="0.25">
      <c r="A185" s="63">
        <v>49</v>
      </c>
      <c r="B185" s="43" t="s">
        <v>43</v>
      </c>
      <c r="C185" s="48"/>
      <c r="D185" s="48"/>
      <c r="E185" s="44" t="s">
        <v>176</v>
      </c>
      <c r="F185" s="44" t="s">
        <v>176</v>
      </c>
      <c r="G185" s="67">
        <v>329</v>
      </c>
      <c r="H185" s="119" t="s">
        <v>48</v>
      </c>
      <c r="I185" s="90" t="s">
        <v>372</v>
      </c>
      <c r="J185" s="90">
        <f>G185/$U$9</f>
        <v>1.0444444444444445</v>
      </c>
      <c r="K185" s="90" t="str">
        <f>""</f>
        <v/>
      </c>
      <c r="L185" s="90" t="str">
        <f>""</f>
        <v/>
      </c>
      <c r="M185" s="90" t="str">
        <f>""</f>
        <v/>
      </c>
      <c r="N185" s="90" t="str">
        <f>""</f>
        <v/>
      </c>
      <c r="O185" s="90" t="str">
        <f>""</f>
        <v/>
      </c>
      <c r="P185" s="90">
        <v>1</v>
      </c>
      <c r="Q185" s="90" t="s">
        <v>257</v>
      </c>
      <c r="R185" s="90" t="str">
        <f t="shared" si="8"/>
        <v/>
      </c>
    </row>
    <row r="186" spans="1:18" ht="17.100000000000001" customHeight="1" x14ac:dyDescent="0.25">
      <c r="A186" s="61" t="s">
        <v>303</v>
      </c>
      <c r="B186" s="42"/>
      <c r="C186" s="42"/>
      <c r="D186" s="48"/>
      <c r="E186" s="42"/>
      <c r="F186" s="42"/>
      <c r="G186" s="61"/>
      <c r="H186" s="87"/>
      <c r="I186" s="88"/>
      <c r="J186" s="88"/>
      <c r="K186" s="88"/>
      <c r="L186" s="88"/>
      <c r="M186" s="88"/>
      <c r="N186" s="88"/>
      <c r="O186" s="88"/>
      <c r="P186" s="88"/>
      <c r="Q186" s="88"/>
      <c r="R186" s="90" t="str">
        <f t="shared" si="8"/>
        <v/>
      </c>
    </row>
    <row r="187" spans="1:18" ht="18" customHeight="1" x14ac:dyDescent="0.25">
      <c r="A187" s="63">
        <v>50</v>
      </c>
      <c r="B187" s="43" t="s">
        <v>39</v>
      </c>
      <c r="C187" s="48"/>
      <c r="D187" s="48" t="str">
        <f t="shared" si="7"/>
        <v>[50A] Each Coffee Roaster</v>
      </c>
      <c r="E187" s="44" t="s">
        <v>177</v>
      </c>
      <c r="F187" s="44" t="s">
        <v>177</v>
      </c>
      <c r="G187" s="97" t="s">
        <v>41</v>
      </c>
      <c r="H187" s="69">
        <v>418</v>
      </c>
      <c r="I187" s="90">
        <v>12</v>
      </c>
      <c r="J187" s="90">
        <v>8</v>
      </c>
      <c r="K187" s="90" t="str">
        <f>""</f>
        <v/>
      </c>
      <c r="L187" s="90" t="str">
        <f>""</f>
        <v/>
      </c>
      <c r="M187" s="90" t="str">
        <f>""</f>
        <v/>
      </c>
      <c r="N187" s="90" t="str">
        <f>""</f>
        <v/>
      </c>
      <c r="O187" s="90" t="str">
        <f>""</f>
        <v/>
      </c>
      <c r="P187" s="90">
        <v>1</v>
      </c>
      <c r="Q187" s="90" t="s">
        <v>257</v>
      </c>
      <c r="R187" s="90" t="str">
        <f t="shared" si="8"/>
        <v/>
      </c>
    </row>
    <row r="188" spans="1:18" ht="18" customHeight="1" x14ac:dyDescent="0.25">
      <c r="A188" s="103" t="s">
        <v>304</v>
      </c>
      <c r="B188" s="42"/>
      <c r="C188" s="42"/>
      <c r="D188" s="48"/>
      <c r="E188" s="42"/>
      <c r="F188" s="42"/>
      <c r="G188" s="61"/>
      <c r="H188" s="87"/>
      <c r="I188" s="88"/>
      <c r="J188" s="88"/>
      <c r="K188" s="88"/>
      <c r="L188" s="88"/>
      <c r="M188" s="88"/>
      <c r="N188" s="88"/>
      <c r="O188" s="88"/>
      <c r="P188" s="88"/>
      <c r="Q188" s="88"/>
      <c r="R188" s="90" t="str">
        <f t="shared" si="8"/>
        <v/>
      </c>
    </row>
    <row r="189" spans="1:18" ht="18" customHeight="1" x14ac:dyDescent="0.25">
      <c r="A189" s="63">
        <v>51</v>
      </c>
      <c r="B189" s="43" t="s">
        <v>39</v>
      </c>
      <c r="C189" s="48"/>
      <c r="D189" s="48" t="str">
        <f t="shared" si="7"/>
        <v>[51A] Each On-site Industrial Waste Water Treatment Processing Line</v>
      </c>
      <c r="E189" s="44" t="s">
        <v>461</v>
      </c>
      <c r="F189" s="44" t="s">
        <v>178</v>
      </c>
      <c r="G189" s="97" t="s">
        <v>41</v>
      </c>
      <c r="H189" s="69">
        <v>577</v>
      </c>
      <c r="I189" s="90">
        <v>20</v>
      </c>
      <c r="J189" s="90">
        <v>16</v>
      </c>
      <c r="K189" s="90" t="str">
        <f>""</f>
        <v/>
      </c>
      <c r="L189" s="90" t="str">
        <f>""</f>
        <v/>
      </c>
      <c r="M189" s="90" t="str">
        <f>""</f>
        <v/>
      </c>
      <c r="N189" s="90" t="str">
        <f>""</f>
        <v/>
      </c>
      <c r="O189" s="90" t="str">
        <f>""</f>
        <v/>
      </c>
      <c r="P189" s="90">
        <v>1</v>
      </c>
      <c r="Q189" s="90" t="s">
        <v>4</v>
      </c>
      <c r="R189" s="90">
        <f t="shared" si="8"/>
        <v>1</v>
      </c>
    </row>
    <row r="190" spans="1:18" ht="23.1" customHeight="1" x14ac:dyDescent="0.25">
      <c r="A190" s="63">
        <v>51</v>
      </c>
      <c r="B190" s="43" t="s">
        <v>46</v>
      </c>
      <c r="C190" s="48"/>
      <c r="D190" s="48" t="str">
        <f t="shared" si="7"/>
        <v>[51C] USN Air Station NORIS Public Works Industrial Waste Water Treatment (ID # APCD1986-SITE-02755)
*</v>
      </c>
      <c r="E190" s="44" t="s">
        <v>462</v>
      </c>
      <c r="F190" s="45" t="s">
        <v>179</v>
      </c>
      <c r="G190" s="97" t="s">
        <v>41</v>
      </c>
      <c r="H190" s="70">
        <v>516</v>
      </c>
      <c r="I190" s="90">
        <v>20</v>
      </c>
      <c r="J190" s="90">
        <v>16</v>
      </c>
      <c r="K190" s="90" t="str">
        <f>""</f>
        <v/>
      </c>
      <c r="L190" s="90" t="str">
        <f>""</f>
        <v/>
      </c>
      <c r="M190" s="90" t="str">
        <f>""</f>
        <v/>
      </c>
      <c r="N190" s="90" t="str">
        <f>""</f>
        <v/>
      </c>
      <c r="O190" s="90" t="str">
        <f>""</f>
        <v/>
      </c>
      <c r="P190" s="90">
        <v>1</v>
      </c>
      <c r="Q190" s="91" t="s">
        <v>4</v>
      </c>
      <c r="R190" s="90">
        <f t="shared" si="8"/>
        <v>1</v>
      </c>
    </row>
    <row r="191" spans="1:18" ht="21.95" customHeight="1" x14ac:dyDescent="0.25">
      <c r="A191" s="61" t="s">
        <v>305</v>
      </c>
      <c r="B191" s="42"/>
      <c r="C191" s="42"/>
      <c r="D191" s="48"/>
      <c r="E191" s="42"/>
      <c r="F191" s="42"/>
      <c r="G191" s="61"/>
      <c r="H191" s="87"/>
      <c r="I191" s="88"/>
      <c r="J191" s="88"/>
      <c r="K191" s="88"/>
      <c r="L191" s="88"/>
      <c r="M191" s="88"/>
      <c r="N191" s="88"/>
      <c r="O191" s="88"/>
      <c r="P191" s="88"/>
      <c r="Q191" s="88"/>
      <c r="R191" s="90" t="str">
        <f t="shared" si="8"/>
        <v/>
      </c>
    </row>
    <row r="192" spans="1:18" ht="15" customHeight="1" x14ac:dyDescent="0.25">
      <c r="A192" s="63">
        <v>52</v>
      </c>
      <c r="B192" s="43" t="s">
        <v>39</v>
      </c>
      <c r="C192" s="48"/>
      <c r="D192" s="48" t="str">
        <f t="shared" si="7"/>
        <v>[52A] Air Stripping Equipment</v>
      </c>
      <c r="E192" s="44" t="s">
        <v>180</v>
      </c>
      <c r="F192" s="44" t="s">
        <v>180</v>
      </c>
      <c r="G192" s="96" t="s">
        <v>41</v>
      </c>
      <c r="H192" s="69">
        <v>877</v>
      </c>
      <c r="I192" s="90">
        <v>16</v>
      </c>
      <c r="J192" s="90">
        <v>12</v>
      </c>
      <c r="K192" s="90" t="str">
        <f>""</f>
        <v/>
      </c>
      <c r="L192" s="90" t="str">
        <f>""</f>
        <v/>
      </c>
      <c r="M192" s="90" t="str">
        <f>""</f>
        <v/>
      </c>
      <c r="N192" s="90" t="str">
        <f>""</f>
        <v/>
      </c>
      <c r="O192" s="90" t="str">
        <f>""</f>
        <v/>
      </c>
      <c r="P192" s="90">
        <v>1</v>
      </c>
      <c r="Q192" s="90" t="s">
        <v>4</v>
      </c>
      <c r="R192" s="90">
        <f t="shared" si="8"/>
        <v>1</v>
      </c>
    </row>
    <row r="193" spans="1:18" ht="21.95" customHeight="1" x14ac:dyDescent="0.25">
      <c r="A193" s="63">
        <v>52</v>
      </c>
      <c r="B193" s="43" t="s">
        <v>43</v>
      </c>
      <c r="C193" s="48"/>
      <c r="D193" s="48" t="str">
        <f t="shared" si="7"/>
        <v>[52B] Soil Remediation Equipment - On-site (In situ Only)</v>
      </c>
      <c r="E193" s="44" t="s">
        <v>181</v>
      </c>
      <c r="F193" s="44" t="s">
        <v>181</v>
      </c>
      <c r="G193" s="97" t="s">
        <v>41</v>
      </c>
      <c r="H193" s="70">
        <v>1024</v>
      </c>
      <c r="I193" s="91">
        <v>16</v>
      </c>
      <c r="J193" s="91">
        <v>12</v>
      </c>
      <c r="K193" s="90" t="str">
        <f>""</f>
        <v/>
      </c>
      <c r="L193" s="90" t="str">
        <f>""</f>
        <v/>
      </c>
      <c r="M193" s="90" t="str">
        <f>""</f>
        <v/>
      </c>
      <c r="N193" s="90" t="str">
        <f>""</f>
        <v/>
      </c>
      <c r="O193" s="90" t="str">
        <f>""</f>
        <v/>
      </c>
      <c r="P193" s="90">
        <v>1</v>
      </c>
      <c r="Q193" s="91" t="s">
        <v>4</v>
      </c>
      <c r="R193" s="90">
        <f t="shared" si="8"/>
        <v>1</v>
      </c>
    </row>
    <row r="194" spans="1:18" ht="20.100000000000001" customHeight="1" x14ac:dyDescent="0.25">
      <c r="A194" s="61" t="s">
        <v>306</v>
      </c>
      <c r="B194" s="42"/>
      <c r="C194" s="42"/>
      <c r="D194" s="48"/>
      <c r="E194" s="42"/>
      <c r="F194" s="42"/>
      <c r="G194" s="61"/>
      <c r="H194" s="87"/>
      <c r="I194" s="88"/>
      <c r="J194" s="88"/>
      <c r="K194" s="88"/>
      <c r="L194" s="88"/>
      <c r="M194" s="88"/>
      <c r="N194" s="88"/>
      <c r="O194" s="88"/>
      <c r="P194" s="88"/>
      <c r="Q194" s="88"/>
      <c r="R194" s="90" t="str">
        <f t="shared" si="8"/>
        <v/>
      </c>
    </row>
    <row r="195" spans="1:18" ht="17.100000000000001" customHeight="1" x14ac:dyDescent="0.25">
      <c r="A195" s="63">
        <v>54</v>
      </c>
      <c r="B195" s="43" t="s">
        <v>39</v>
      </c>
      <c r="C195" s="48"/>
      <c r="D195" s="48" t="str">
        <f t="shared" si="7"/>
        <v>[54A] Each Pharmaceutical Manufacturing Process Line</v>
      </c>
      <c r="E195" s="44" t="s">
        <v>182</v>
      </c>
      <c r="F195" s="44" t="s">
        <v>182</v>
      </c>
      <c r="G195" s="96" t="s">
        <v>41</v>
      </c>
      <c r="H195" s="69">
        <v>1187</v>
      </c>
      <c r="I195" s="90">
        <v>20</v>
      </c>
      <c r="J195" s="90">
        <v>16</v>
      </c>
      <c r="K195" s="90" t="str">
        <f>""</f>
        <v/>
      </c>
      <c r="L195" s="90" t="str">
        <f>""</f>
        <v/>
      </c>
      <c r="M195" s="90" t="str">
        <f>""</f>
        <v/>
      </c>
      <c r="N195" s="90" t="str">
        <f>""</f>
        <v/>
      </c>
      <c r="O195" s="90" t="str">
        <f>""</f>
        <v/>
      </c>
      <c r="P195" s="90">
        <v>1</v>
      </c>
      <c r="Q195" s="90" t="s">
        <v>4</v>
      </c>
      <c r="R195" s="90">
        <f t="shared" si="8"/>
        <v>1</v>
      </c>
    </row>
    <row r="196" spans="1:18" ht="21.95" customHeight="1" x14ac:dyDescent="0.25">
      <c r="A196" s="61" t="s">
        <v>307</v>
      </c>
      <c r="B196" s="42"/>
      <c r="C196" s="42"/>
      <c r="D196" s="48"/>
      <c r="E196" s="42"/>
      <c r="F196" s="42"/>
      <c r="G196" s="61"/>
      <c r="H196" s="87"/>
      <c r="I196" s="88"/>
      <c r="J196" s="88"/>
      <c r="K196" s="88"/>
      <c r="L196" s="88"/>
      <c r="M196" s="88"/>
      <c r="N196" s="88"/>
      <c r="O196" s="88"/>
      <c r="P196" s="88"/>
      <c r="Q196" s="88"/>
      <c r="R196" s="90" t="str">
        <f t="shared" si="8"/>
        <v/>
      </c>
    </row>
    <row r="197" spans="1:18" ht="26.1" customHeight="1" x14ac:dyDescent="0.25">
      <c r="A197" s="63">
        <v>55</v>
      </c>
      <c r="B197" s="43" t="s">
        <v>39</v>
      </c>
      <c r="C197" s="48"/>
      <c r="D197" s="48" t="str">
        <f t="shared" si="7"/>
        <v>[55A] Each Hard or Decorative Chrome plating and/or Anodizing Tank or Group of Tanks Served by an Emission Control System</v>
      </c>
      <c r="E197" s="44" t="s">
        <v>183</v>
      </c>
      <c r="F197" s="44" t="s">
        <v>183</v>
      </c>
      <c r="G197" s="97" t="s">
        <v>41</v>
      </c>
      <c r="H197" s="70">
        <v>1252</v>
      </c>
      <c r="I197" s="91">
        <v>30</v>
      </c>
      <c r="J197" s="91">
        <v>20</v>
      </c>
      <c r="K197" s="90" t="str">
        <f>""</f>
        <v/>
      </c>
      <c r="L197" s="90" t="str">
        <f>""</f>
        <v/>
      </c>
      <c r="M197" s="90" t="str">
        <f>""</f>
        <v/>
      </c>
      <c r="N197" s="90" t="str">
        <f>""</f>
        <v/>
      </c>
      <c r="O197" s="90" t="str">
        <f>""</f>
        <v/>
      </c>
      <c r="P197" s="90">
        <v>1</v>
      </c>
      <c r="Q197" s="91" t="s">
        <v>4</v>
      </c>
      <c r="R197" s="90">
        <f t="shared" si="8"/>
        <v>1</v>
      </c>
    </row>
    <row r="198" spans="1:18" ht="18" customHeight="1" x14ac:dyDescent="0.25">
      <c r="A198" s="63">
        <v>55</v>
      </c>
      <c r="B198" s="43" t="s">
        <v>43</v>
      </c>
      <c r="C198" s="48"/>
      <c r="D198" s="48" t="str">
        <f t="shared" si="7"/>
        <v>[55B] Each Decorative Chrome Plating Tank without Add-on Emission Controls</v>
      </c>
      <c r="E198" s="44" t="s">
        <v>463</v>
      </c>
      <c r="F198" s="44" t="s">
        <v>184</v>
      </c>
      <c r="G198" s="96" t="s">
        <v>41</v>
      </c>
      <c r="H198" s="69">
        <v>772</v>
      </c>
      <c r="I198" s="91">
        <v>30</v>
      </c>
      <c r="J198" s="91">
        <v>20</v>
      </c>
      <c r="K198" s="90" t="str">
        <f>""</f>
        <v/>
      </c>
      <c r="L198" s="90" t="str">
        <f>""</f>
        <v/>
      </c>
      <c r="M198" s="90" t="str">
        <f>""</f>
        <v/>
      </c>
      <c r="N198" s="90" t="str">
        <f>""</f>
        <v/>
      </c>
      <c r="O198" s="90" t="str">
        <f>""</f>
        <v/>
      </c>
      <c r="P198" s="90">
        <v>1</v>
      </c>
      <c r="Q198" s="90" t="s">
        <v>4</v>
      </c>
      <c r="R198" s="90">
        <f t="shared" si="8"/>
        <v>1</v>
      </c>
    </row>
    <row r="199" spans="1:18" ht="18" customHeight="1" x14ac:dyDescent="0.25">
      <c r="A199" s="63">
        <v>55</v>
      </c>
      <c r="B199" s="48" t="s">
        <v>185</v>
      </c>
      <c r="C199" s="48"/>
      <c r="D199" s="48" t="str">
        <f t="shared" si="7"/>
        <v>[55D] Each Chromate Conversion Tank</v>
      </c>
      <c r="E199" s="47" t="s">
        <v>186</v>
      </c>
      <c r="F199" s="47" t="s">
        <v>186</v>
      </c>
      <c r="G199" s="96" t="s">
        <v>41</v>
      </c>
      <c r="H199" s="69">
        <v>512</v>
      </c>
      <c r="I199" s="90">
        <v>16</v>
      </c>
      <c r="J199" s="90">
        <v>12</v>
      </c>
      <c r="K199" s="90" t="str">
        <f>""</f>
        <v/>
      </c>
      <c r="L199" s="90" t="str">
        <f>""</f>
        <v/>
      </c>
      <c r="M199" s="90" t="str">
        <f>""</f>
        <v/>
      </c>
      <c r="N199" s="90" t="str">
        <f>""</f>
        <v/>
      </c>
      <c r="O199" s="90" t="str">
        <f>""</f>
        <v/>
      </c>
      <c r="P199" s="90">
        <v>1</v>
      </c>
      <c r="Q199" s="90" t="s">
        <v>257</v>
      </c>
      <c r="R199" s="90" t="str">
        <f t="shared" si="8"/>
        <v/>
      </c>
    </row>
    <row r="200" spans="1:18" ht="18" customHeight="1" x14ac:dyDescent="0.25">
      <c r="A200" s="61" t="s">
        <v>308</v>
      </c>
      <c r="B200" s="42"/>
      <c r="C200" s="42"/>
      <c r="D200" s="48"/>
      <c r="E200" s="42"/>
      <c r="F200" s="42"/>
      <c r="G200" s="61"/>
      <c r="H200" s="87"/>
      <c r="I200" s="88"/>
      <c r="J200" s="88"/>
      <c r="K200" s="88"/>
      <c r="L200" s="88"/>
      <c r="M200" s="88"/>
      <c r="N200" s="88"/>
      <c r="O200" s="88"/>
      <c r="P200" s="88"/>
      <c r="Q200" s="88"/>
      <c r="R200" s="90" t="str">
        <f t="shared" si="8"/>
        <v/>
      </c>
    </row>
    <row r="201" spans="1:18" ht="23.1" customHeight="1" x14ac:dyDescent="0.25">
      <c r="A201" s="63">
        <v>56</v>
      </c>
      <c r="B201" s="43" t="s">
        <v>39</v>
      </c>
      <c r="C201" s="48"/>
      <c r="D201" s="48" t="str">
        <f t="shared" si="7"/>
        <v>[56A] Each Wastewater Treatment Facility, or Each Water Reclamation Facility</v>
      </c>
      <c r="E201" s="44" t="s">
        <v>187</v>
      </c>
      <c r="F201" s="44" t="s">
        <v>187</v>
      </c>
      <c r="G201" s="97" t="s">
        <v>41</v>
      </c>
      <c r="H201" s="70">
        <v>1502</v>
      </c>
      <c r="I201" s="91">
        <v>20</v>
      </c>
      <c r="J201" s="91">
        <v>16</v>
      </c>
      <c r="K201" s="90" t="str">
        <f>""</f>
        <v/>
      </c>
      <c r="L201" s="90" t="str">
        <f>""</f>
        <v/>
      </c>
      <c r="M201" s="90" t="str">
        <f>""</f>
        <v/>
      </c>
      <c r="N201" s="90" t="str">
        <f>""</f>
        <v/>
      </c>
      <c r="O201" s="90" t="str">
        <f>""</f>
        <v/>
      </c>
      <c r="P201" s="90">
        <v>1</v>
      </c>
      <c r="Q201" s="91" t="s">
        <v>4</v>
      </c>
      <c r="R201" s="90">
        <f t="shared" si="8"/>
        <v>1</v>
      </c>
    </row>
    <row r="202" spans="1:18" ht="21.95" customHeight="1" x14ac:dyDescent="0.25">
      <c r="A202" s="63">
        <v>56</v>
      </c>
      <c r="B202" s="43" t="s">
        <v>43</v>
      </c>
      <c r="C202" s="48"/>
      <c r="D202" s="48" t="str">
        <f t="shared" si="7"/>
        <v>[56B] Each Wastewater Pump Station</v>
      </c>
      <c r="E202" s="44" t="s">
        <v>188</v>
      </c>
      <c r="F202" s="44" t="s">
        <v>188</v>
      </c>
      <c r="G202" s="97" t="s">
        <v>41</v>
      </c>
      <c r="H202" s="70">
        <v>727</v>
      </c>
      <c r="I202" s="91">
        <v>16</v>
      </c>
      <c r="J202" s="91">
        <v>12</v>
      </c>
      <c r="K202" s="90" t="str">
        <f>""</f>
        <v/>
      </c>
      <c r="L202" s="90" t="str">
        <f>""</f>
        <v/>
      </c>
      <c r="M202" s="90" t="str">
        <f>""</f>
        <v/>
      </c>
      <c r="N202" s="90" t="str">
        <f>""</f>
        <v/>
      </c>
      <c r="O202" s="90" t="str">
        <f>""</f>
        <v/>
      </c>
      <c r="P202" s="90">
        <v>1</v>
      </c>
      <c r="Q202" s="91" t="s">
        <v>4</v>
      </c>
      <c r="R202" s="90">
        <f t="shared" si="8"/>
        <v>1</v>
      </c>
    </row>
    <row r="203" spans="1:18" ht="11.1" customHeight="1" x14ac:dyDescent="0.25">
      <c r="A203" s="61" t="s">
        <v>309</v>
      </c>
      <c r="B203" s="42"/>
      <c r="C203" s="42"/>
      <c r="D203" s="48"/>
      <c r="E203" s="42"/>
      <c r="F203" s="42"/>
      <c r="G203" s="61"/>
      <c r="H203" s="87"/>
      <c r="I203" s="88"/>
      <c r="J203" s="88"/>
      <c r="K203" s="88"/>
      <c r="L203" s="88"/>
      <c r="M203" s="88"/>
      <c r="N203" s="88"/>
      <c r="O203" s="88"/>
      <c r="P203" s="88"/>
      <c r="Q203" s="88"/>
      <c r="R203" s="90" t="str">
        <f t="shared" si="8"/>
        <v/>
      </c>
    </row>
    <row r="204" spans="1:18" ht="23.1" customHeight="1" x14ac:dyDescent="0.25">
      <c r="A204" s="63">
        <v>58</v>
      </c>
      <c r="B204" s="43" t="s">
        <v>39</v>
      </c>
      <c r="C204" s="48"/>
      <c r="D204" s="48" t="str">
        <f t="shared" si="7"/>
        <v>[58A] Bakery Ovens at Facilities with Emission Controls Pursuant to Rule 67.24</v>
      </c>
      <c r="E204" s="44" t="s">
        <v>189</v>
      </c>
      <c r="F204" s="44" t="s">
        <v>189</v>
      </c>
      <c r="G204" s="97" t="s">
        <v>41</v>
      </c>
      <c r="H204" s="70">
        <v>995</v>
      </c>
      <c r="I204" s="91">
        <v>16</v>
      </c>
      <c r="J204" s="91">
        <v>12</v>
      </c>
      <c r="K204" s="90" t="str">
        <f>""</f>
        <v/>
      </c>
      <c r="L204" s="90" t="str">
        <f>""</f>
        <v/>
      </c>
      <c r="M204" s="90" t="str">
        <f>""</f>
        <v/>
      </c>
      <c r="N204" s="90" t="str">
        <f>""</f>
        <v/>
      </c>
      <c r="O204" s="90" t="str">
        <f>""</f>
        <v/>
      </c>
      <c r="P204" s="90">
        <v>1</v>
      </c>
      <c r="Q204" s="91" t="s">
        <v>257</v>
      </c>
      <c r="R204" s="90" t="str">
        <f t="shared" si="8"/>
        <v/>
      </c>
    </row>
    <row r="205" spans="1:18" ht="11.1" customHeight="1" x14ac:dyDescent="0.25">
      <c r="A205" s="61" t="s">
        <v>310</v>
      </c>
      <c r="B205" s="42"/>
      <c r="C205" s="42"/>
      <c r="D205" s="48"/>
      <c r="E205" s="42"/>
      <c r="F205" s="42"/>
      <c r="G205" s="61"/>
      <c r="H205" s="87"/>
      <c r="I205" s="88"/>
      <c r="J205" s="88"/>
      <c r="K205" s="88"/>
      <c r="L205" s="88"/>
      <c r="M205" s="88"/>
      <c r="N205" s="88"/>
      <c r="O205" s="88"/>
      <c r="P205" s="88"/>
      <c r="Q205" s="88"/>
      <c r="R205" s="90" t="str">
        <f t="shared" si="8"/>
        <v/>
      </c>
    </row>
    <row r="206" spans="1:18" ht="21" customHeight="1" x14ac:dyDescent="0.25">
      <c r="A206" s="63">
        <v>59</v>
      </c>
      <c r="B206" s="43" t="s">
        <v>46</v>
      </c>
      <c r="C206" s="48"/>
      <c r="D206" s="48" t="str">
        <f t="shared" si="7"/>
        <v>[59C] Each Portable Asbestos Mastic Removal Application Station</v>
      </c>
      <c r="E206" s="44" t="s">
        <v>464</v>
      </c>
      <c r="F206" s="44" t="s">
        <v>190</v>
      </c>
      <c r="G206" s="97" t="s">
        <v>41</v>
      </c>
      <c r="H206" s="70">
        <v>479</v>
      </c>
      <c r="I206" s="91">
        <v>10</v>
      </c>
      <c r="J206" s="91">
        <v>8</v>
      </c>
      <c r="K206" s="90" t="str">
        <f>""</f>
        <v/>
      </c>
      <c r="L206" s="90" t="str">
        <f>""</f>
        <v/>
      </c>
      <c r="M206" s="90" t="str">
        <f>""</f>
        <v/>
      </c>
      <c r="N206" s="90" t="str">
        <f>""</f>
        <v/>
      </c>
      <c r="O206" s="90" t="str">
        <f>""</f>
        <v/>
      </c>
      <c r="P206" s="90">
        <v>1</v>
      </c>
      <c r="Q206" s="91" t="s">
        <v>257</v>
      </c>
      <c r="R206" s="90" t="str">
        <f t="shared" si="8"/>
        <v/>
      </c>
    </row>
    <row r="207" spans="1:18" ht="21" customHeight="1" x14ac:dyDescent="0.25">
      <c r="A207" s="61" t="s">
        <v>310</v>
      </c>
      <c r="B207" s="42"/>
      <c r="C207" s="42"/>
      <c r="D207" s="48"/>
      <c r="E207" s="42"/>
      <c r="F207" s="42"/>
      <c r="G207" s="61"/>
      <c r="H207" s="87"/>
      <c r="I207" s="88"/>
      <c r="J207" s="88"/>
      <c r="K207" s="88"/>
      <c r="L207" s="88"/>
      <c r="M207" s="88"/>
      <c r="N207" s="88"/>
      <c r="O207" s="88"/>
      <c r="P207" s="88"/>
      <c r="Q207" s="88"/>
      <c r="R207" s="90" t="str">
        <f t="shared" si="8"/>
        <v/>
      </c>
    </row>
    <row r="208" spans="1:18" ht="21" customHeight="1" x14ac:dyDescent="0.25">
      <c r="A208" s="63">
        <v>91</v>
      </c>
      <c r="B208" s="43" t="s">
        <v>39</v>
      </c>
      <c r="C208" s="48"/>
      <c r="D208" s="48" t="str">
        <f t="shared" si="7"/>
        <v>[91A] Miscellaneous Operations</v>
      </c>
      <c r="E208" s="44" t="s">
        <v>191</v>
      </c>
      <c r="F208" s="44" t="s">
        <v>191</v>
      </c>
      <c r="G208" s="108" t="s">
        <v>41</v>
      </c>
      <c r="H208" s="71">
        <v>708</v>
      </c>
      <c r="I208" s="109">
        <v>16</v>
      </c>
      <c r="J208" s="109">
        <v>12</v>
      </c>
      <c r="K208" s="90" t="str">
        <f>""</f>
        <v/>
      </c>
      <c r="L208" s="90" t="str">
        <f>""</f>
        <v/>
      </c>
      <c r="M208" s="90" t="str">
        <f>""</f>
        <v/>
      </c>
      <c r="N208" s="90" t="str">
        <f>""</f>
        <v/>
      </c>
      <c r="O208" s="90" t="str">
        <f>""</f>
        <v/>
      </c>
      <c r="P208" s="90">
        <v>1</v>
      </c>
      <c r="Q208" s="109" t="s">
        <v>4</v>
      </c>
      <c r="R208" s="90">
        <f t="shared" si="8"/>
        <v>1</v>
      </c>
    </row>
    <row r="209" spans="1:18" ht="21" customHeight="1" x14ac:dyDescent="0.25">
      <c r="A209" s="63"/>
      <c r="B209" s="48"/>
      <c r="C209" s="48"/>
      <c r="D209" s="48"/>
      <c r="E209" s="48"/>
      <c r="F209" s="48"/>
      <c r="G209" s="120"/>
      <c r="H209" s="49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</row>
    <row r="210" spans="1:18" ht="26.1" customHeight="1" x14ac:dyDescent="0.25">
      <c r="A210" s="65" t="s">
        <v>193</v>
      </c>
      <c r="B210" s="50"/>
      <c r="C210" s="50"/>
      <c r="D210" s="50"/>
      <c r="E210" s="50"/>
      <c r="F210" s="50"/>
      <c r="G210" s="50"/>
    </row>
    <row r="211" spans="1:18" ht="30.95" customHeight="1" x14ac:dyDescent="0.25">
      <c r="A211" s="65" t="s">
        <v>36</v>
      </c>
      <c r="B211" s="50"/>
      <c r="C211" s="50"/>
      <c r="D211" s="50"/>
      <c r="E211" s="50"/>
      <c r="F211" s="51"/>
      <c r="G211" s="50"/>
    </row>
    <row r="212" spans="1:18" ht="12.95" customHeight="1" x14ac:dyDescent="0.25">
      <c r="A212" s="61"/>
      <c r="B212" s="42"/>
      <c r="C212" s="42"/>
      <c r="D212" s="42"/>
      <c r="E212" s="42"/>
      <c r="F212" s="46"/>
      <c r="G212" s="42"/>
    </row>
    <row r="213" spans="1:18" ht="12.95" customHeight="1" x14ac:dyDescent="0.25">
      <c r="A213" s="66">
        <v>92</v>
      </c>
      <c r="B213" s="52" t="s">
        <v>194</v>
      </c>
      <c r="C213" s="128"/>
      <c r="D213" s="128"/>
      <c r="E213" s="128"/>
      <c r="F213" s="36" t="s">
        <v>63</v>
      </c>
      <c r="G213" s="79"/>
    </row>
    <row r="214" spans="1:18" ht="24.95" customHeight="1" x14ac:dyDescent="0.25">
      <c r="A214" s="66">
        <v>92</v>
      </c>
      <c r="B214" s="52" t="s">
        <v>195</v>
      </c>
      <c r="C214" s="128"/>
      <c r="D214" s="128"/>
      <c r="E214" s="128"/>
      <c r="F214" s="36" t="s">
        <v>63</v>
      </c>
      <c r="G214" s="79"/>
    </row>
    <row r="215" spans="1:18" ht="12.95" customHeight="1" x14ac:dyDescent="0.25">
      <c r="A215" s="66">
        <v>92</v>
      </c>
      <c r="B215" s="52" t="s">
        <v>196</v>
      </c>
      <c r="C215" s="128"/>
      <c r="D215" s="128"/>
      <c r="E215" s="128"/>
      <c r="F215" s="36" t="s">
        <v>197</v>
      </c>
      <c r="G215" s="36" t="s">
        <v>41</v>
      </c>
    </row>
    <row r="216" spans="1:18" ht="24.95" customHeight="1" x14ac:dyDescent="0.25">
      <c r="A216" s="66">
        <v>92</v>
      </c>
      <c r="B216" s="52" t="s">
        <v>198</v>
      </c>
      <c r="C216" s="128"/>
      <c r="D216" s="128"/>
      <c r="E216" s="128"/>
      <c r="F216" s="36" t="s">
        <v>199</v>
      </c>
      <c r="G216" s="122">
        <v>2040</v>
      </c>
    </row>
    <row r="217" spans="1:18" ht="12.95" customHeight="1" x14ac:dyDescent="0.25">
      <c r="A217" s="66">
        <v>92</v>
      </c>
      <c r="B217" s="52" t="s">
        <v>200</v>
      </c>
      <c r="C217" s="128"/>
      <c r="D217" s="128"/>
      <c r="E217" s="128"/>
      <c r="F217" s="36" t="s">
        <v>201</v>
      </c>
      <c r="G217" s="36" t="s">
        <v>41</v>
      </c>
    </row>
    <row r="218" spans="1:18" ht="12.95" customHeight="1" x14ac:dyDescent="0.25">
      <c r="A218" s="66">
        <v>92</v>
      </c>
      <c r="B218" s="52" t="s">
        <v>202</v>
      </c>
      <c r="C218" s="128"/>
      <c r="D218" s="128"/>
      <c r="E218" s="128"/>
      <c r="F218" s="36" t="s">
        <v>203</v>
      </c>
      <c r="G218" s="122">
        <v>4079</v>
      </c>
    </row>
    <row r="219" spans="1:18" ht="12.95" customHeight="1" x14ac:dyDescent="0.25">
      <c r="A219" s="66">
        <v>92</v>
      </c>
      <c r="B219" s="52" t="s">
        <v>204</v>
      </c>
      <c r="C219" s="128"/>
      <c r="D219" s="128"/>
      <c r="E219" s="128"/>
      <c r="F219" s="36" t="s">
        <v>205</v>
      </c>
      <c r="G219" s="122">
        <v>4704</v>
      </c>
    </row>
    <row r="220" spans="1:18" ht="24.95" customHeight="1" x14ac:dyDescent="0.25">
      <c r="A220" s="66">
        <v>92</v>
      </c>
      <c r="B220" s="52" t="s">
        <v>206</v>
      </c>
      <c r="C220" s="128"/>
      <c r="D220" s="128"/>
      <c r="E220" s="128"/>
      <c r="F220" s="36" t="s">
        <v>207</v>
      </c>
      <c r="G220" s="36" t="s">
        <v>41</v>
      </c>
    </row>
    <row r="221" spans="1:18" ht="12.95" customHeight="1" x14ac:dyDescent="0.25">
      <c r="A221" s="66">
        <v>92</v>
      </c>
      <c r="B221" s="52" t="s">
        <v>208</v>
      </c>
      <c r="C221" s="128"/>
      <c r="D221" s="128"/>
      <c r="E221" s="128"/>
      <c r="F221" s="36" t="s">
        <v>209</v>
      </c>
      <c r="G221" s="122">
        <v>1948</v>
      </c>
    </row>
    <row r="222" spans="1:18" ht="12.95" customHeight="1" x14ac:dyDescent="0.25">
      <c r="A222" s="66">
        <v>92</v>
      </c>
      <c r="B222" s="52" t="s">
        <v>210</v>
      </c>
      <c r="C222" s="128"/>
      <c r="D222" s="128"/>
      <c r="E222" s="128"/>
      <c r="F222" s="36" t="s">
        <v>211</v>
      </c>
      <c r="G222" s="36" t="s">
        <v>41</v>
      </c>
    </row>
    <row r="223" spans="1:18" ht="24.95" customHeight="1" x14ac:dyDescent="0.25">
      <c r="A223" s="66">
        <v>92</v>
      </c>
      <c r="B223" s="52" t="s">
        <v>212</v>
      </c>
      <c r="C223" s="128"/>
      <c r="D223" s="128"/>
      <c r="E223" s="128"/>
      <c r="F223" s="36" t="s">
        <v>213</v>
      </c>
      <c r="G223" s="36" t="s">
        <v>41</v>
      </c>
    </row>
    <row r="224" spans="1:18" ht="12.95" customHeight="1" x14ac:dyDescent="0.25">
      <c r="A224" s="66">
        <v>92</v>
      </c>
      <c r="B224" s="52" t="s">
        <v>214</v>
      </c>
      <c r="C224" s="128"/>
      <c r="D224" s="128"/>
      <c r="E224" s="128"/>
      <c r="F224" s="36" t="s">
        <v>63</v>
      </c>
    </row>
    <row r="225" spans="1:7" ht="14.1" customHeight="1" x14ac:dyDescent="0.25">
      <c r="A225" s="66">
        <v>92</v>
      </c>
      <c r="B225" s="52" t="s">
        <v>215</v>
      </c>
      <c r="C225" s="128"/>
      <c r="D225" s="128"/>
      <c r="E225" s="128"/>
      <c r="F225" s="36" t="s">
        <v>216</v>
      </c>
      <c r="G225" s="123">
        <v>1923</v>
      </c>
    </row>
    <row r="226" spans="1:7" ht="12.95" customHeight="1" x14ac:dyDescent="0.25">
      <c r="A226" s="66">
        <v>92</v>
      </c>
      <c r="B226" s="52" t="s">
        <v>217</v>
      </c>
      <c r="C226" s="128"/>
      <c r="D226" s="128"/>
      <c r="E226" s="128"/>
      <c r="F226" s="36" t="s">
        <v>63</v>
      </c>
    </row>
    <row r="227" spans="1:7" ht="12.95" customHeight="1" x14ac:dyDescent="0.25">
      <c r="A227" s="66">
        <v>92</v>
      </c>
      <c r="B227" s="52" t="s">
        <v>218</v>
      </c>
      <c r="C227" s="128"/>
      <c r="D227" s="128"/>
      <c r="E227" s="128"/>
      <c r="F227" s="36" t="s">
        <v>219</v>
      </c>
      <c r="G227" s="36" t="s">
        <v>41</v>
      </c>
    </row>
    <row r="228" spans="1:7" ht="14.1" customHeight="1" x14ac:dyDescent="0.25">
      <c r="A228" s="66">
        <v>92</v>
      </c>
      <c r="B228" s="52" t="s">
        <v>220</v>
      </c>
      <c r="C228" s="128"/>
      <c r="D228" s="128"/>
      <c r="E228" s="128"/>
      <c r="F228" s="36" t="s">
        <v>221</v>
      </c>
      <c r="G228" s="36" t="s">
        <v>41</v>
      </c>
    </row>
    <row r="229" spans="1:7" ht="12.95" customHeight="1" x14ac:dyDescent="0.25">
      <c r="A229" s="66">
        <v>92</v>
      </c>
      <c r="B229" s="52" t="s">
        <v>222</v>
      </c>
      <c r="C229" s="128"/>
      <c r="D229" s="128"/>
      <c r="E229" s="128"/>
      <c r="F229" s="36" t="s">
        <v>223</v>
      </c>
      <c r="G229" s="122">
        <v>8971</v>
      </c>
    </row>
    <row r="230" spans="1:7" ht="12.95" customHeight="1" x14ac:dyDescent="0.25">
      <c r="A230" s="66">
        <v>92</v>
      </c>
      <c r="B230" s="52" t="s">
        <v>224</v>
      </c>
      <c r="C230" s="128"/>
      <c r="D230" s="128"/>
      <c r="E230" s="128"/>
      <c r="F230" s="36" t="s">
        <v>225</v>
      </c>
      <c r="G230" s="122">
        <v>2102</v>
      </c>
    </row>
    <row r="231" spans="1:7" ht="12.95" customHeight="1" x14ac:dyDescent="0.25">
      <c r="A231" s="66">
        <v>92</v>
      </c>
      <c r="B231" s="52" t="s">
        <v>226</v>
      </c>
      <c r="C231" s="128"/>
      <c r="D231" s="128"/>
      <c r="E231" s="128"/>
      <c r="F231" s="36" t="s">
        <v>227</v>
      </c>
      <c r="G231" s="36" t="s">
        <v>41</v>
      </c>
    </row>
    <row r="232" spans="1:7" ht="12.95" customHeight="1" x14ac:dyDescent="0.25">
      <c r="A232" s="66">
        <v>92</v>
      </c>
      <c r="B232" s="52" t="s">
        <v>228</v>
      </c>
      <c r="C232" s="128"/>
      <c r="D232" s="128"/>
      <c r="E232" s="128"/>
      <c r="F232" s="36" t="s">
        <v>229</v>
      </c>
      <c r="G232" s="36" t="s">
        <v>41</v>
      </c>
    </row>
    <row r="233" spans="1:7" ht="24.95" customHeight="1" x14ac:dyDescent="0.25">
      <c r="A233" s="66">
        <v>92</v>
      </c>
      <c r="B233" s="52" t="s">
        <v>230</v>
      </c>
      <c r="C233" s="128"/>
      <c r="D233" s="128"/>
      <c r="E233" s="128"/>
      <c r="F233" s="36" t="s">
        <v>63</v>
      </c>
      <c r="G233" s="79"/>
    </row>
    <row r="234" spans="1:7" ht="12.95" customHeight="1" x14ac:dyDescent="0.25">
      <c r="A234" s="66">
        <v>92</v>
      </c>
      <c r="B234" s="52" t="s">
        <v>231</v>
      </c>
      <c r="C234" s="128"/>
      <c r="D234" s="128"/>
      <c r="E234" s="128"/>
      <c r="F234" s="36" t="s">
        <v>232</v>
      </c>
      <c r="G234" s="36" t="s">
        <v>41</v>
      </c>
    </row>
    <row r="235" spans="1:7" ht="12.95" customHeight="1" x14ac:dyDescent="0.25">
      <c r="A235" s="66">
        <v>92</v>
      </c>
      <c r="B235" s="52" t="s">
        <v>70</v>
      </c>
      <c r="C235" s="128"/>
      <c r="D235" s="128"/>
      <c r="E235" s="128"/>
      <c r="F235" s="36" t="s">
        <v>233</v>
      </c>
      <c r="G235" s="123">
        <v>5766</v>
      </c>
    </row>
    <row r="236" spans="1:7" ht="12.95" customHeight="1" x14ac:dyDescent="0.25">
      <c r="A236" s="66">
        <v>92</v>
      </c>
      <c r="B236" s="52" t="s">
        <v>234</v>
      </c>
      <c r="C236" s="128"/>
      <c r="D236" s="128"/>
      <c r="E236" s="128"/>
      <c r="F236" s="36" t="s">
        <v>235</v>
      </c>
      <c r="G236" s="123">
        <v>12863</v>
      </c>
    </row>
    <row r="237" spans="1:7" ht="12.95" customHeight="1" x14ac:dyDescent="0.25">
      <c r="A237" s="66">
        <v>92</v>
      </c>
      <c r="B237" s="52" t="s">
        <v>236</v>
      </c>
      <c r="C237" s="128"/>
      <c r="D237" s="128"/>
      <c r="E237" s="128"/>
      <c r="F237" s="36" t="s">
        <v>237</v>
      </c>
      <c r="G237" s="123">
        <v>9200</v>
      </c>
    </row>
    <row r="238" spans="1:7" ht="12.95" customHeight="1" x14ac:dyDescent="0.25">
      <c r="A238" s="66">
        <v>92</v>
      </c>
      <c r="B238" s="52" t="s">
        <v>238</v>
      </c>
      <c r="C238" s="128"/>
      <c r="D238" s="128"/>
      <c r="E238" s="128"/>
      <c r="F238" s="36" t="s">
        <v>239</v>
      </c>
      <c r="G238" s="36" t="s">
        <v>41</v>
      </c>
    </row>
    <row r="239" spans="1:7" ht="33.950000000000003" customHeight="1" x14ac:dyDescent="0.25">
      <c r="A239" s="58" t="s">
        <v>240</v>
      </c>
      <c r="B239" s="53"/>
      <c r="C239" s="53"/>
      <c r="D239" s="53"/>
      <c r="E239" s="53"/>
      <c r="F239" s="53"/>
      <c r="G239" s="53"/>
    </row>
    <row r="240" spans="1:7" ht="35.1" customHeight="1" x14ac:dyDescent="0.25">
      <c r="A240" s="65" t="s">
        <v>36</v>
      </c>
      <c r="B240" s="50"/>
      <c r="C240" s="50"/>
      <c r="D240" s="50"/>
      <c r="E240" s="50"/>
      <c r="F240" s="51"/>
      <c r="G240" s="50"/>
    </row>
    <row r="241" spans="1:7" ht="29.1" customHeight="1" x14ac:dyDescent="0.25">
      <c r="A241" s="61"/>
      <c r="B241" s="42"/>
      <c r="C241" s="42"/>
      <c r="D241" s="42"/>
      <c r="E241" s="42"/>
      <c r="F241" s="46"/>
      <c r="G241" s="42"/>
    </row>
    <row r="242" spans="1:7" ht="21.95" customHeight="1" x14ac:dyDescent="0.25">
      <c r="A242" s="66">
        <v>93</v>
      </c>
      <c r="B242" s="52" t="s">
        <v>194</v>
      </c>
      <c r="C242" s="52"/>
      <c r="D242" s="52"/>
      <c r="E242" s="52"/>
      <c r="F242" s="54"/>
      <c r="G242" s="52" t="s">
        <v>41</v>
      </c>
    </row>
    <row r="243" spans="1:7" ht="21.95" customHeight="1" x14ac:dyDescent="0.25">
      <c r="A243" s="66">
        <v>93</v>
      </c>
      <c r="B243" s="52" t="s">
        <v>195</v>
      </c>
      <c r="C243" s="52"/>
      <c r="D243" s="52"/>
      <c r="E243" s="52"/>
      <c r="F243" s="54"/>
      <c r="G243" s="107"/>
    </row>
    <row r="244" spans="1:7" ht="18" customHeight="1" x14ac:dyDescent="0.25">
      <c r="A244" s="66">
        <v>93</v>
      </c>
      <c r="B244" s="52" t="s">
        <v>196</v>
      </c>
      <c r="C244" s="52"/>
      <c r="D244" s="52"/>
      <c r="E244" s="52"/>
      <c r="F244" s="54"/>
      <c r="G244" s="52" t="s">
        <v>41</v>
      </c>
    </row>
    <row r="245" spans="1:7" ht="21.95" customHeight="1" x14ac:dyDescent="0.25">
      <c r="A245" s="66">
        <v>93</v>
      </c>
      <c r="B245" s="52" t="s">
        <v>198</v>
      </c>
      <c r="C245" s="52"/>
      <c r="D245" s="52"/>
      <c r="E245" s="52"/>
      <c r="F245" s="54"/>
      <c r="G245" s="124">
        <v>3695</v>
      </c>
    </row>
    <row r="246" spans="1:7" ht="21.95" customHeight="1" x14ac:dyDescent="0.25">
      <c r="A246" s="66">
        <v>93</v>
      </c>
      <c r="B246" s="52" t="s">
        <v>200</v>
      </c>
      <c r="C246" s="52"/>
      <c r="D246" s="52"/>
      <c r="E246" s="52"/>
      <c r="F246" s="54"/>
      <c r="G246" s="124">
        <v>3455</v>
      </c>
    </row>
    <row r="247" spans="1:7" ht="27.95" customHeight="1" x14ac:dyDescent="0.25">
      <c r="A247" s="58" t="s">
        <v>241</v>
      </c>
      <c r="B247" s="53"/>
      <c r="C247" s="53"/>
      <c r="D247" s="53"/>
      <c r="E247" s="53"/>
      <c r="F247" s="53"/>
      <c r="G247" s="53"/>
    </row>
    <row r="248" spans="1:7" ht="45" customHeight="1" x14ac:dyDescent="0.25">
      <c r="A248" s="65" t="s">
        <v>36</v>
      </c>
      <c r="B248" s="50"/>
      <c r="C248" s="50"/>
      <c r="D248" s="50"/>
      <c r="E248" s="50"/>
      <c r="F248" s="51"/>
      <c r="G248" s="50"/>
    </row>
    <row r="249" spans="1:7" ht="17.100000000000001" customHeight="1" x14ac:dyDescent="0.25">
      <c r="A249" s="61"/>
      <c r="B249" s="42"/>
      <c r="C249" s="42"/>
      <c r="D249" s="42"/>
      <c r="E249" s="42"/>
      <c r="F249" s="46"/>
      <c r="G249" s="42"/>
    </row>
    <row r="250" spans="1:7" ht="15" customHeight="1" x14ac:dyDescent="0.25">
      <c r="A250" s="61"/>
      <c r="B250" s="42"/>
      <c r="C250" s="42"/>
      <c r="D250" s="42"/>
      <c r="E250" s="42"/>
      <c r="F250" s="46"/>
      <c r="G250" s="42"/>
    </row>
    <row r="251" spans="1:7" x14ac:dyDescent="0.2">
      <c r="A251" s="60"/>
      <c r="B251" s="60" t="s">
        <v>242</v>
      </c>
      <c r="C251" s="60"/>
      <c r="D251" s="60"/>
      <c r="E251" s="60"/>
      <c r="F251" s="125" t="s">
        <v>10</v>
      </c>
      <c r="G251" s="78">
        <v>315</v>
      </c>
    </row>
    <row r="252" spans="1:7" x14ac:dyDescent="0.2">
      <c r="A252" s="60"/>
      <c r="B252" s="60" t="s">
        <v>243</v>
      </c>
      <c r="C252" s="60"/>
      <c r="D252" s="60"/>
      <c r="E252" s="60"/>
      <c r="F252" s="125" t="s">
        <v>15</v>
      </c>
      <c r="G252" s="78">
        <v>173</v>
      </c>
    </row>
    <row r="253" spans="1:7" x14ac:dyDescent="0.2">
      <c r="A253" s="60"/>
      <c r="B253" s="60" t="s">
        <v>244</v>
      </c>
      <c r="C253" s="60"/>
      <c r="D253" s="60"/>
      <c r="E253" s="60"/>
      <c r="F253" s="125" t="s">
        <v>22</v>
      </c>
      <c r="G253" s="78">
        <v>217</v>
      </c>
    </row>
    <row r="254" spans="1:7" x14ac:dyDescent="0.2">
      <c r="A254" s="60"/>
      <c r="B254" s="60" t="s">
        <v>245</v>
      </c>
      <c r="C254" s="60"/>
      <c r="D254" s="60"/>
      <c r="E254" s="60"/>
      <c r="F254" s="125" t="s">
        <v>246</v>
      </c>
      <c r="G254" s="78">
        <v>286</v>
      </c>
    </row>
    <row r="255" spans="1:7" x14ac:dyDescent="0.2">
      <c r="A255" s="60"/>
      <c r="B255" s="60" t="s">
        <v>247</v>
      </c>
      <c r="C255" s="60"/>
      <c r="D255" s="60"/>
      <c r="E255" s="60"/>
      <c r="F255" s="125" t="s">
        <v>248</v>
      </c>
      <c r="G255" s="78">
        <v>218</v>
      </c>
    </row>
  </sheetData>
  <sheetProtection algorithmName="SHA-512" hashValue="yURlhq+SeMs9RT/R7IrK5yN3BVcePhyMKoFwmEQcwgHGuOs9hD+Eiy5tGrFfFB7rmsZvpXkWmIeuJTdYAtpy4Q==" saltValue="q3Jl1ppU4kljhmR+aph7aQ==" spinCount="100000" sheet="1" selectLockedCells="1" selectUnlockedCells="1"/>
  <mergeCells count="3">
    <mergeCell ref="I2:M2"/>
    <mergeCell ref="Q3:R3"/>
    <mergeCell ref="T3:U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7" ma:contentTypeDescription="Create a new document." ma:contentTypeScope="" ma:versionID="a90702caa808073e861680f9ec88e7ef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a7628cc9731097a6dd68cde838f539c9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dc5ad5-337b-4d66-a194-b33a7344dd5f" xsi:nil="true"/>
    <lcf76f155ced4ddcb4097134ff3c332f xmlns="cc1f92cf-538a-4359-92b3-489a84209a1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2A2F38-EB9C-46A2-A2E8-CE945EB175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f92cf-538a-4359-92b3-489a84209a15"/>
    <ds:schemaRef ds:uri="57b8b022-2c87-4c58-97ad-376140580cd9"/>
    <ds:schemaRef ds:uri="c1dc5ad5-337b-4d66-a194-b33a7344d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E813AD-02EE-4FF0-830A-D1CBAAB91705}">
  <ds:schemaRefs>
    <ds:schemaRef ds:uri="57b8b022-2c87-4c58-97ad-376140580cd9"/>
    <ds:schemaRef ds:uri="c1dc5ad5-337b-4d66-a194-b33a7344dd5f"/>
    <ds:schemaRef ds:uri="http://purl.org/dc/terms/"/>
    <ds:schemaRef ds:uri="http://schemas.microsoft.com/office/2006/documentManagement/types"/>
    <ds:schemaRef ds:uri="cc1f92cf-538a-4359-92b3-489a84209a15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F63B37B-A569-4EB7-B427-217EABB1F6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Fee-est-default</vt:lpstr>
      <vt:lpstr>Lists</vt:lpstr>
      <vt:lpstr>Rule 40 Fees</vt:lpstr>
      <vt:lpstr>'Fee-est-default'!Print_Area</vt:lpstr>
    </vt:vector>
  </TitlesOfParts>
  <Manager/>
  <Company>The County of San Diego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tweeks</dc:creator>
  <cp:keywords/>
  <dc:description/>
  <cp:lastModifiedBy>Horres, Nicholas</cp:lastModifiedBy>
  <cp:revision/>
  <cp:lastPrinted>2023-10-23T15:06:26Z</cp:lastPrinted>
  <dcterms:created xsi:type="dcterms:W3CDTF">2013-10-17T21:59:07Z</dcterms:created>
  <dcterms:modified xsi:type="dcterms:W3CDTF">2024-08-18T21:21:23Z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0x0101001157C117937CFC41BFC9DA22F40355C1</vt:lpwstr>
  </property>
  <property fmtid="{D5CDD505-2E9C-101B-9397-08002B2CF9AE}" pid="3" name="Order">
    <vt:r8>364900</vt:r8>
  </property>
  <property fmtid="{D5CDD505-2E9C-101B-9397-08002B2CF9AE}" pid="4" name="MediaServiceImageTags">
    <vt:lpwstr/>
  </property>
</Properties>
</file>